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" activeTab="5"/>
  </bookViews>
  <sheets>
    <sheet name="жимовое двоеборье" sheetId="1" r:id="rId1"/>
    <sheet name="Русская Тяга" sheetId="2" r:id="rId2"/>
    <sheet name="Люб. народный жим 1 вес" sheetId="3" r:id="rId3"/>
    <sheet name="Люб. народный жим 1_2 вес" sheetId="4" r:id="rId4"/>
    <sheet name="Проф. народный жим 1 вес" sheetId="5" r:id="rId5"/>
    <sheet name="Проф. народный жим 1_2 вес" sheetId="6" r:id="rId6"/>
    <sheet name="Бицепс Любители" sheetId="7" r:id="rId7"/>
    <sheet name="РЖ Проф 75 кг." sheetId="8" r:id="rId8"/>
    <sheet name="РЖ Проф 100 кг." sheetId="9" r:id="rId9"/>
    <sheet name="РЖ Проф 125 кг." sheetId="10" r:id="rId10"/>
    <sheet name="РЖ любители 35 кг." sheetId="11" r:id="rId11"/>
    <sheet name="РЖ любители 55 кг." sheetId="12" r:id="rId12"/>
    <sheet name="РЖ любители 75 кг." sheetId="13" r:id="rId13"/>
    <sheet name="ПРО тяга б.э." sheetId="14" r:id="rId14"/>
    <sheet name="Люб. тяга б.э." sheetId="15" r:id="rId15"/>
    <sheet name="ПРО жим софт экип." sheetId="16" r:id="rId16"/>
    <sheet name="Люб. жим софт экип." sheetId="17" r:id="rId17"/>
    <sheet name="ПРО жим б.э." sheetId="18" r:id="rId18"/>
    <sheet name="Люб. жим б.э." sheetId="19" r:id="rId19"/>
    <sheet name="СОВ жим" sheetId="20" r:id="rId20"/>
    <sheet name="Люб. Военный жим" sheetId="21" r:id="rId21"/>
  </sheets>
  <definedNames/>
  <calcPr fullCalcOnLoad="1" refMode="R1C1"/>
</workbook>
</file>

<file path=xl/sharedStrings.xml><?xml version="1.0" encoding="utf-8"?>
<sst xmlns="http://schemas.openxmlformats.org/spreadsheetml/2006/main" count="2094" uniqueCount="627">
  <si>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</si>
  <si>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</si>
  <si>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</si>
  <si>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</si>
  <si>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</si>
  <si>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</si>
  <si>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</si>
  <si>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</si>
  <si>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</si>
  <si>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</si>
  <si>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</si>
  <si>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82.5</t>
  </si>
  <si>
    <t>Алхазов Радмир</t>
  </si>
  <si>
    <t>1. Алхазов Радмир</t>
  </si>
  <si>
    <t>Юниоры 20 - 23 (01.12.1996)/22</t>
  </si>
  <si>
    <t>81,60</t>
  </si>
  <si>
    <t xml:space="preserve">СССР </t>
  </si>
  <si>
    <t xml:space="preserve">Карачаевск/Карачаево-Черкесия </t>
  </si>
  <si>
    <t>135,0</t>
  </si>
  <si>
    <t>140,0</t>
  </si>
  <si>
    <t xml:space="preserve"> </t>
  </si>
  <si>
    <t>ВЕСОВАЯ КАТЕГОРИЯ   90</t>
  </si>
  <si>
    <t>Величко Владимир</t>
  </si>
  <si>
    <t>1. Величко Владимир</t>
  </si>
  <si>
    <t>Юноши 18 - 19 (01.04.2000)/18</t>
  </si>
  <si>
    <t>89,70</t>
  </si>
  <si>
    <t xml:space="preserve">Титан </t>
  </si>
  <si>
    <t xml:space="preserve">Новый Оскол/Белгородская область </t>
  </si>
  <si>
    <t>115,0</t>
  </si>
  <si>
    <t>125,0</t>
  </si>
  <si>
    <t>ВЕСОВАЯ КАТЕГОРИЯ   100</t>
  </si>
  <si>
    <t>Клименко Максим</t>
  </si>
  <si>
    <t>1. Клименко Максим</t>
  </si>
  <si>
    <t>Мастера 40 - 44 (03.03.1978)/41</t>
  </si>
  <si>
    <t>99,30</t>
  </si>
  <si>
    <t xml:space="preserve">Лично </t>
  </si>
  <si>
    <t xml:space="preserve">Москва </t>
  </si>
  <si>
    <t>142,5o</t>
  </si>
  <si>
    <t>145,0o</t>
  </si>
  <si>
    <t>ВЕСОВАЯ КАТЕГОРИЯ   110</t>
  </si>
  <si>
    <t>Алхазов Алихан</t>
  </si>
  <si>
    <t>1. Алхазов Алихан</t>
  </si>
  <si>
    <t>Мастера 50 - 54 (21.01.1968)/51</t>
  </si>
  <si>
    <t>110,00</t>
  </si>
  <si>
    <t>175,0</t>
  </si>
  <si>
    <t>180,0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</si>
  <si>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</si>
  <si>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</si>
  <si>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</si>
  <si>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</si>
  <si>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</si>
  <si>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</si>
  <si>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</si>
  <si>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</si>
  <si>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</si>
  <si>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</si>
  <si>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</si>
  <si>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</si>
  <si>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</si>
  <si>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90</t>
  </si>
  <si>
    <t>71,4943</t>
  </si>
  <si>
    <t xml:space="preserve">Юниоры </t>
  </si>
  <si>
    <t xml:space="preserve">Юниоры 20 - 23 </t>
  </si>
  <si>
    <t>82.5</t>
  </si>
  <si>
    <t>85,0960</t>
  </si>
  <si>
    <t xml:space="preserve">Мастера </t>
  </si>
  <si>
    <t xml:space="preserve">Мастера 50 - 54 </t>
  </si>
  <si>
    <t>110</t>
  </si>
  <si>
    <t>113,0405</t>
  </si>
  <si>
    <t xml:space="preserve">Мастера 40 - 44 </t>
  </si>
  <si>
    <t>100</t>
  </si>
  <si>
    <t>145,0</t>
  </si>
  <si>
    <t>80,8328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</si>
  <si>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</si>
  <si>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</si>
  <si>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</si>
  <si>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</si>
  <si>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24(12+12) </t>
  </si>
  <si>
    <t xml:space="preserve">Алхазов Радмир, Алхазов Алихан </t>
  </si>
  <si>
    <t xml:space="preserve">12(12) </t>
  </si>
  <si>
    <t xml:space="preserve">Клименко Максим </t>
  </si>
  <si>
    <t xml:space="preserve">Величко Владимир </t>
  </si>
  <si>
    <t>Результат</t>
  </si>
  <si>
    <t>ВЕСОВАЯ КАТЕГОРИЯ   125</t>
  </si>
  <si>
    <t>Фадеев Николай</t>
  </si>
  <si>
    <t>1. Фадеев Николай</t>
  </si>
  <si>
    <t>Мастера 40 - 44 (11.07.1977)/41</t>
  </si>
  <si>
    <t>115,00</t>
  </si>
  <si>
    <t xml:space="preserve">Нижний Новгород/Нижегородская область </t>
  </si>
  <si>
    <t>162,5o</t>
  </si>
  <si>
    <t>170,0o</t>
  </si>
  <si>
    <t>175,0o</t>
  </si>
  <si>
    <t>125</t>
  </si>
  <si>
    <t>93,2740</t>
  </si>
  <si>
    <t xml:space="preserve">Фадеев Николай </t>
  </si>
  <si>
    <t>ВЕСОВАЯ КАТЕГОРИЯ   67.5</t>
  </si>
  <si>
    <t>Корецкая Мария</t>
  </si>
  <si>
    <t>1. Корецкая Мария</t>
  </si>
  <si>
    <t>Открытая (11.10.1981)/37</t>
  </si>
  <si>
    <t>64,30</t>
  </si>
  <si>
    <t xml:space="preserve">КамиПауэрПро </t>
  </si>
  <si>
    <t>85,0</t>
  </si>
  <si>
    <t>90,0</t>
  </si>
  <si>
    <t>92,5</t>
  </si>
  <si>
    <t>Шиханова Светлана</t>
  </si>
  <si>
    <t>1. Шиханова Светлана</t>
  </si>
  <si>
    <t>Мастера 40 - 44 (22.10.1975)/43</t>
  </si>
  <si>
    <t>66,30</t>
  </si>
  <si>
    <t xml:space="preserve">Саратов/Саратовская область </t>
  </si>
  <si>
    <t>57,5o</t>
  </si>
  <si>
    <t>60,0o</t>
  </si>
  <si>
    <t>62,5o</t>
  </si>
  <si>
    <t>Тарасов Сергей</t>
  </si>
  <si>
    <t>1. Тарасов Сергей</t>
  </si>
  <si>
    <t>Открытая (07.09.1983)/35</t>
  </si>
  <si>
    <t>82,00</t>
  </si>
  <si>
    <t xml:space="preserve">Люберцы/Московская область </t>
  </si>
  <si>
    <t>130,0o</t>
  </si>
  <si>
    <t>150,0</t>
  </si>
  <si>
    <t>Касатов Дмитрий</t>
  </si>
  <si>
    <t>1. Касатов Дмитрий</t>
  </si>
  <si>
    <t>Открытая (22.05.1977)/41</t>
  </si>
  <si>
    <t>86,50</t>
  </si>
  <si>
    <t>190,0o</t>
  </si>
  <si>
    <t>200,0o</t>
  </si>
  <si>
    <t>210,0o</t>
  </si>
  <si>
    <t>215,0</t>
  </si>
  <si>
    <t>Талдыкин Алексей</t>
  </si>
  <si>
    <t>2. Талдыкин Алексей</t>
  </si>
  <si>
    <t>Открытая (23.09.1990)/28</t>
  </si>
  <si>
    <t>87,60</t>
  </si>
  <si>
    <t xml:space="preserve">Липецк/Липецкая область </t>
  </si>
  <si>
    <t>155,0</t>
  </si>
  <si>
    <t>Десов Леонид</t>
  </si>
  <si>
    <t>3. Десов Леонид</t>
  </si>
  <si>
    <t>Открытая (02.04.1993)/25</t>
  </si>
  <si>
    <t>85,00</t>
  </si>
  <si>
    <t>130,0</t>
  </si>
  <si>
    <t>Тимохин Георгий</t>
  </si>
  <si>
    <t>4. Тимохин Георгий</t>
  </si>
  <si>
    <t>Открытая (29.01.1993)/26</t>
  </si>
  <si>
    <t>89,20</t>
  </si>
  <si>
    <t>Инги Кирилл</t>
  </si>
  <si>
    <t>Открытая (01.10.1986)/32</t>
  </si>
  <si>
    <t>89,30</t>
  </si>
  <si>
    <t>Лузин Сергей</t>
  </si>
  <si>
    <t>1. Лузин Сергей</t>
  </si>
  <si>
    <t>Мастера 60 - 64 (30.04.1954)/64</t>
  </si>
  <si>
    <t>87,50</t>
  </si>
  <si>
    <t xml:space="preserve">Фаворит </t>
  </si>
  <si>
    <t xml:space="preserve">Пермь/Пермский край </t>
  </si>
  <si>
    <t>Попков Александр</t>
  </si>
  <si>
    <t>1. Попков Александр</t>
  </si>
  <si>
    <t>Мастера 45 - 49 (13.05.1973)/45</t>
  </si>
  <si>
    <t>95,00</t>
  </si>
  <si>
    <t xml:space="preserve">Локомотив </t>
  </si>
  <si>
    <t xml:space="preserve">Узловая/Тульская область </t>
  </si>
  <si>
    <t>120,0</t>
  </si>
  <si>
    <t>Зайкин Андрей</t>
  </si>
  <si>
    <t>1. Зайкин Андрей</t>
  </si>
  <si>
    <t>Открытая (21.01.1984)/35</t>
  </si>
  <si>
    <t>107,80</t>
  </si>
  <si>
    <t>185,0</t>
  </si>
  <si>
    <t>Логинов Александр</t>
  </si>
  <si>
    <t>1. Логинов Александр</t>
  </si>
  <si>
    <t>Мастера 50 - 54 (16.02.1969)/50</t>
  </si>
  <si>
    <t>108,30</t>
  </si>
  <si>
    <t>160,0</t>
  </si>
  <si>
    <t>167,5</t>
  </si>
  <si>
    <t>Селезнев Владимир</t>
  </si>
  <si>
    <t>1. Селезнев Владимир</t>
  </si>
  <si>
    <t>Мастера 40 - 44 (09.05.1977)/41</t>
  </si>
  <si>
    <t>124,90</t>
  </si>
  <si>
    <t xml:space="preserve">Одинцово/Московская область </t>
  </si>
  <si>
    <t>182,5o</t>
  </si>
  <si>
    <t>187,5o</t>
  </si>
  <si>
    <t xml:space="preserve">Женщины </t>
  </si>
  <si>
    <t xml:space="preserve">Открытая </t>
  </si>
  <si>
    <t>67.5</t>
  </si>
  <si>
    <t>75,1239</t>
  </si>
  <si>
    <t>62,5</t>
  </si>
  <si>
    <t>50,3465</t>
  </si>
  <si>
    <t>210,0</t>
  </si>
  <si>
    <t>126,0000</t>
  </si>
  <si>
    <t>99,7705</t>
  </si>
  <si>
    <t>92,2560</t>
  </si>
  <si>
    <t>91,0350</t>
  </si>
  <si>
    <t>90,1755</t>
  </si>
  <si>
    <t>76,5050</t>
  </si>
  <si>
    <t xml:space="preserve">Мастера 60 - 64 </t>
  </si>
  <si>
    <t>144,4032</t>
  </si>
  <si>
    <t>101,0845</t>
  </si>
  <si>
    <t>187,5</t>
  </si>
  <si>
    <t>97,9994</t>
  </si>
  <si>
    <t xml:space="preserve">Мастера 45 - 49 </t>
  </si>
  <si>
    <t>71,4065</t>
  </si>
  <si>
    <t xml:space="preserve">84(12+12+7+8+9+12+12+12) </t>
  </si>
  <si>
    <t xml:space="preserve">Касатов Дмитрий, Тарасов Сергей, Тимохин Георгий, Десов Леонид, Талдыкин Алексей, Логинов Александр, Шиханова Светлана, Селезнев Владимир </t>
  </si>
  <si>
    <t xml:space="preserve">Зайкин Андрей, Корецкая Мария </t>
  </si>
  <si>
    <t xml:space="preserve">Лузин Сергей </t>
  </si>
  <si>
    <t xml:space="preserve">Попков Александр </t>
  </si>
  <si>
    <t>ВЕСОВАЯ КАТЕГОРИЯ   60</t>
  </si>
  <si>
    <t>Велиал Ника</t>
  </si>
  <si>
    <t>1. Велиал Ника</t>
  </si>
  <si>
    <t>Открытая (25.11.1992)/26</t>
  </si>
  <si>
    <t>59,20</t>
  </si>
  <si>
    <t>95,0</t>
  </si>
  <si>
    <t>1. Инги Кирилл</t>
  </si>
  <si>
    <t>155,0o</t>
  </si>
  <si>
    <t>Сизов Алексей</t>
  </si>
  <si>
    <t>1. Сизов Алексей</t>
  </si>
  <si>
    <t>Открытая (11.12.1979)/39</t>
  </si>
  <si>
    <t>98,30</t>
  </si>
  <si>
    <t xml:space="preserve">Домодедово/Московская область </t>
  </si>
  <si>
    <t>190,0</t>
  </si>
  <si>
    <t>205,0</t>
  </si>
  <si>
    <t>Веденидов Сергей</t>
  </si>
  <si>
    <t>1. Веденидов Сергей</t>
  </si>
  <si>
    <t>Открытая (23.09.1979)/39</t>
  </si>
  <si>
    <t>115,50</t>
  </si>
  <si>
    <t>195,0</t>
  </si>
  <si>
    <t>200,0</t>
  </si>
  <si>
    <t>60</t>
  </si>
  <si>
    <t>78,3630</t>
  </si>
  <si>
    <t>114,4515</t>
  </si>
  <si>
    <t>106,1800</t>
  </si>
  <si>
    <t>170,0</t>
  </si>
  <si>
    <t>99,9770</t>
  </si>
  <si>
    <t xml:space="preserve">Велиал Ника, Сизов Алексей </t>
  </si>
  <si>
    <t xml:space="preserve">Инги Кирилл </t>
  </si>
  <si>
    <t xml:space="preserve">Веденидов Сергей </t>
  </si>
  <si>
    <t>ВЕСОВАЯ КАТЕГОРИЯ   56</t>
  </si>
  <si>
    <t>Дорошина Елена</t>
  </si>
  <si>
    <t>1. Дорошина Елена</t>
  </si>
  <si>
    <t>Мастера 40 - 44 (01.06.1975)/43</t>
  </si>
  <si>
    <t>55,60</t>
  </si>
  <si>
    <t xml:space="preserve">Новомосковск/Тульская область </t>
  </si>
  <si>
    <t>77,5</t>
  </si>
  <si>
    <t>82,5</t>
  </si>
  <si>
    <t>Ермолаева Анна</t>
  </si>
  <si>
    <t>1. Ермолаева Анна</t>
  </si>
  <si>
    <t>Мастера 40 - 44 (27.04.1975)/43</t>
  </si>
  <si>
    <t>67,20</t>
  </si>
  <si>
    <t xml:space="preserve">Любера (Люберцы) </t>
  </si>
  <si>
    <t>105,0</t>
  </si>
  <si>
    <t>ВЕСОВАЯ КАТЕГОРИЯ   75</t>
  </si>
  <si>
    <t>Варшавский Илья</t>
  </si>
  <si>
    <t>1. Варшавский Илья</t>
  </si>
  <si>
    <t>Открытая (03.11.1991)/27</t>
  </si>
  <si>
    <t>74,80</t>
  </si>
  <si>
    <t>265,0</t>
  </si>
  <si>
    <t>275,0</t>
  </si>
  <si>
    <t>282,5</t>
  </si>
  <si>
    <t>Сухарев Кирилл</t>
  </si>
  <si>
    <t>1. Сухарев Кирилл</t>
  </si>
  <si>
    <t>Открытая (21.12.1993)/25</t>
  </si>
  <si>
    <t>98,50</t>
  </si>
  <si>
    <t>240,0</t>
  </si>
  <si>
    <t>255,0</t>
  </si>
  <si>
    <t>Корчинский Василий</t>
  </si>
  <si>
    <t>2. Корчинский Василий</t>
  </si>
  <si>
    <t>Открытая (26.07.1981)/37</t>
  </si>
  <si>
    <t>99,90</t>
  </si>
  <si>
    <t xml:space="preserve">Химки/Московская область </t>
  </si>
  <si>
    <t>240,0o</t>
  </si>
  <si>
    <t>250,0o</t>
  </si>
  <si>
    <t>267,5</t>
  </si>
  <si>
    <t>Щеславский Станислав</t>
  </si>
  <si>
    <t>3. Щеславский Станислав</t>
  </si>
  <si>
    <t>Открытая (15.04.1981)/37</t>
  </si>
  <si>
    <t>97,00</t>
  </si>
  <si>
    <t>220,0o</t>
  </si>
  <si>
    <t>232,5</t>
  </si>
  <si>
    <t>Сухарев Андрей</t>
  </si>
  <si>
    <t>1. Сухарев Андрей</t>
  </si>
  <si>
    <t>Открытая (22.07.1974)/44</t>
  </si>
  <si>
    <t>103,50</t>
  </si>
  <si>
    <t>285,0</t>
  </si>
  <si>
    <t>300,0</t>
  </si>
  <si>
    <t>342,5</t>
  </si>
  <si>
    <t>83,6094</t>
  </si>
  <si>
    <t>56</t>
  </si>
  <si>
    <t>77,0436</t>
  </si>
  <si>
    <t>75</t>
  </si>
  <si>
    <t>188,1167</t>
  </si>
  <si>
    <t>163,9500</t>
  </si>
  <si>
    <t>142,2390</t>
  </si>
  <si>
    <t>250,0</t>
  </si>
  <si>
    <t>138,5750</t>
  </si>
  <si>
    <t>130,6418</t>
  </si>
  <si>
    <t xml:space="preserve">48(12+12+12+12) </t>
  </si>
  <si>
    <t xml:space="preserve">Сухарев Кирилл, Сухарев Андрей, Ермолаева Анна, Варшавский Илья </t>
  </si>
  <si>
    <t xml:space="preserve">17(9+8) </t>
  </si>
  <si>
    <t xml:space="preserve">Корчинский Василий, Щеславский Станислав </t>
  </si>
  <si>
    <t xml:space="preserve">Дорошина Елена </t>
  </si>
  <si>
    <t>Прокопова Елена</t>
  </si>
  <si>
    <t>1. Прокопова Елена</t>
  </si>
  <si>
    <t>Открытая (07.03.1966)/53</t>
  </si>
  <si>
    <t>66,70</t>
  </si>
  <si>
    <t>157,5</t>
  </si>
  <si>
    <t>Мастера 50 - 54 (07.03.1966)/53</t>
  </si>
  <si>
    <t>Жигулин Константин</t>
  </si>
  <si>
    <t>1. Жигулин Константин</t>
  </si>
  <si>
    <t>Открытая (03.10.1987)/31</t>
  </si>
  <si>
    <t>80,20</t>
  </si>
  <si>
    <t>230,0</t>
  </si>
  <si>
    <t>Василенко Дмитрий</t>
  </si>
  <si>
    <t>1. Василенко Дмитрий</t>
  </si>
  <si>
    <t>Мастера 40 - 44 (03.06.1975)/43</t>
  </si>
  <si>
    <t>107,20</t>
  </si>
  <si>
    <t xml:space="preserve">Котельники/Московская область </t>
  </si>
  <si>
    <t>320,0</t>
  </si>
  <si>
    <t>Емельянов Николай</t>
  </si>
  <si>
    <t>1. Емельянов Николай</t>
  </si>
  <si>
    <t>Открытая (30.08.1979)/39</t>
  </si>
  <si>
    <t>121,50</t>
  </si>
  <si>
    <t xml:space="preserve">Лосино-Петровский/Московская область </t>
  </si>
  <si>
    <t>362,5</t>
  </si>
  <si>
    <t>380,0</t>
  </si>
  <si>
    <t>133,8240</t>
  </si>
  <si>
    <t>171,4285</t>
  </si>
  <si>
    <t>199,6900</t>
  </si>
  <si>
    <t>132,6780</t>
  </si>
  <si>
    <t>175,9756</t>
  </si>
  <si>
    <t xml:space="preserve">60(12+12+12+12+12) </t>
  </si>
  <si>
    <t xml:space="preserve">Прокопова Елена, Прокопова Елена, Василенко Дмитрий, Жигулин Константин, Емельянов Николай </t>
  </si>
  <si>
    <t>Становая тяга</t>
  </si>
  <si>
    <t>ВЕСОВАЯ КАТЕГОРИЯ   48</t>
  </si>
  <si>
    <t>Бочарникова Алина</t>
  </si>
  <si>
    <t>1. Бочарникова Алина</t>
  </si>
  <si>
    <t>Открытая (28.02.1983)/36</t>
  </si>
  <si>
    <t>46,80</t>
  </si>
  <si>
    <t xml:space="preserve">Витязь </t>
  </si>
  <si>
    <t>95,0o</t>
  </si>
  <si>
    <t>110,0</t>
  </si>
  <si>
    <t>Брик Ольга</t>
  </si>
  <si>
    <t>-. Брик Ольга</t>
  </si>
  <si>
    <t>Открытая (25.12.1987)/31</t>
  </si>
  <si>
    <t>59,90</t>
  </si>
  <si>
    <t>112,5</t>
  </si>
  <si>
    <t>Прощалыкин Вячеслав</t>
  </si>
  <si>
    <t>1. Прощалыкин Вячеслав</t>
  </si>
  <si>
    <t>Юноши 14-15 (26.03.2003)/15</t>
  </si>
  <si>
    <t>81,30</t>
  </si>
  <si>
    <t xml:space="preserve">Балашиха/Московская область </t>
  </si>
  <si>
    <t>165,0</t>
  </si>
  <si>
    <t>Шульгин Виталий</t>
  </si>
  <si>
    <t>1. Шульгин Виталий</t>
  </si>
  <si>
    <t>Открытая (22.09.1997)/21</t>
  </si>
  <si>
    <t>76,80</t>
  </si>
  <si>
    <t>172,5</t>
  </si>
  <si>
    <t>-. Алиев Эльнур</t>
  </si>
  <si>
    <t>Открытая (09.03.1982)/37</t>
  </si>
  <si>
    <t>81,50</t>
  </si>
  <si>
    <t>Бенгардт Антон</t>
  </si>
  <si>
    <t>1. Бенгардт Антон</t>
  </si>
  <si>
    <t>Открытая (15.01.1990)/29</t>
  </si>
  <si>
    <t>88,70</t>
  </si>
  <si>
    <t xml:space="preserve">Красногорск/Московская область </t>
  </si>
  <si>
    <t>220,0</t>
  </si>
  <si>
    <t>-. Десов Леонид</t>
  </si>
  <si>
    <t>225,0</t>
  </si>
  <si>
    <t>Акопян Арсен</t>
  </si>
  <si>
    <t>1. Акопян Арсен</t>
  </si>
  <si>
    <t>Мастера 45 - 49 (23.06.1970)/48</t>
  </si>
  <si>
    <t>88,80</t>
  </si>
  <si>
    <t>Пермяков Сергей</t>
  </si>
  <si>
    <t>1. Пермяков Сергей</t>
  </si>
  <si>
    <t>Открытая (19.12.1985)/33</t>
  </si>
  <si>
    <t>107,40</t>
  </si>
  <si>
    <t xml:space="preserve">Екатеринбург/Свердловская область </t>
  </si>
  <si>
    <t>270,0</t>
  </si>
  <si>
    <t>285,0o</t>
  </si>
  <si>
    <t>295,0</t>
  </si>
  <si>
    <t>Прощалыкин Игорь</t>
  </si>
  <si>
    <t>1. Прощалыкин Игорь</t>
  </si>
  <si>
    <t>Мастера 40 - 44 (26.03.1975)/43</t>
  </si>
  <si>
    <t>108,80</t>
  </si>
  <si>
    <t>242,5</t>
  </si>
  <si>
    <t>-. Беляев Роман</t>
  </si>
  <si>
    <t>Мастера 40 - 44 (22.01.1976)/43</t>
  </si>
  <si>
    <t>105,50</t>
  </si>
  <si>
    <t>48</t>
  </si>
  <si>
    <t>116,1270</t>
  </si>
  <si>
    <t xml:space="preserve">Юноши 14-15 </t>
  </si>
  <si>
    <t>138,4361</t>
  </si>
  <si>
    <t>153,8715</t>
  </si>
  <si>
    <t>124,0050</t>
  </si>
  <si>
    <t>112,5390</t>
  </si>
  <si>
    <t>141,7155</t>
  </si>
  <si>
    <t>132,8134</t>
  </si>
  <si>
    <t xml:space="preserve">36(12+12+12) </t>
  </si>
  <si>
    <t xml:space="preserve">Бочарникова Алина, Прощалыкин Вячеслав, Прощалыкин Игорь </t>
  </si>
  <si>
    <t xml:space="preserve">Бенгардт Антон, Пермяков Сергей </t>
  </si>
  <si>
    <t xml:space="preserve">Акопян Арсен </t>
  </si>
  <si>
    <t xml:space="preserve">Шульгин Виталий </t>
  </si>
  <si>
    <t>Зубков Павел</t>
  </si>
  <si>
    <t>1. Зубков Павел</t>
  </si>
  <si>
    <t>Открытая (22.12.1985)/33</t>
  </si>
  <si>
    <t>81,70</t>
  </si>
  <si>
    <t>290,0</t>
  </si>
  <si>
    <t>Малеев Дмитрий</t>
  </si>
  <si>
    <t>1. Малеев Дмитрий</t>
  </si>
  <si>
    <t>Открытая (07.02.1990)/29</t>
  </si>
  <si>
    <t>89,90</t>
  </si>
  <si>
    <t>262,5</t>
  </si>
  <si>
    <t>280,0</t>
  </si>
  <si>
    <t>305,0</t>
  </si>
  <si>
    <t>Виноградов Олег</t>
  </si>
  <si>
    <t>1. Виноградов Олег</t>
  </si>
  <si>
    <t>Открытая (09.06.1990)/28</t>
  </si>
  <si>
    <t>102,10</t>
  </si>
  <si>
    <t>335,0</t>
  </si>
  <si>
    <t>340,0</t>
  </si>
  <si>
    <t>184,0155</t>
  </si>
  <si>
    <t>180,8150</t>
  </si>
  <si>
    <t>170,2815</t>
  </si>
  <si>
    <t>161,0675</t>
  </si>
  <si>
    <t xml:space="preserve">Сизов Алексей, Зубков Павел, Виноградов Олег </t>
  </si>
  <si>
    <t xml:space="preserve">Малеев Дмитрий </t>
  </si>
  <si>
    <t>18,8571</t>
  </si>
  <si>
    <t>1650,0</t>
  </si>
  <si>
    <t>All</t>
  </si>
  <si>
    <t xml:space="preserve">Атлетизм </t>
  </si>
  <si>
    <t>22,0</t>
  </si>
  <si>
    <t>75,0</t>
  </si>
  <si>
    <t>ВЕСОВАЯ КАТЕГОРИЯ   All</t>
  </si>
  <si>
    <t>Повторы</t>
  </si>
  <si>
    <t>Вес</t>
  </si>
  <si>
    <t>Тоннаж</t>
  </si>
  <si>
    <t>Жим мн. повт.</t>
  </si>
  <si>
    <t>Атлетизм</t>
  </si>
  <si>
    <t xml:space="preserve">Карнаушкина Ирина </t>
  </si>
  <si>
    <t>50,3036</t>
  </si>
  <si>
    <t>2485,0</t>
  </si>
  <si>
    <t>Карнаушкина Ирина</t>
  </si>
  <si>
    <t>71,0</t>
  </si>
  <si>
    <t>35,0o</t>
  </si>
  <si>
    <t>49,40</t>
  </si>
  <si>
    <t>Мастера 45 - 49 (30.06.1972)/46</t>
  </si>
  <si>
    <t>1. Карнаушкина Ирина</t>
  </si>
  <si>
    <t xml:space="preserve">Корнилов Дмитрий </t>
  </si>
  <si>
    <t xml:space="preserve">9(9) </t>
  </si>
  <si>
    <t xml:space="preserve">Брянск </t>
  </si>
  <si>
    <t xml:space="preserve">Донгак Рахим, Терёхин Юрий </t>
  </si>
  <si>
    <t>28,4909</t>
  </si>
  <si>
    <t>2530,0</t>
  </si>
  <si>
    <t>32,4396</t>
  </si>
  <si>
    <t>2420,0</t>
  </si>
  <si>
    <t>Корнилов Дмитрий</t>
  </si>
  <si>
    <t>81,9681</t>
  </si>
  <si>
    <t>7205,0</t>
  </si>
  <si>
    <t>Терёхин Юрий</t>
  </si>
  <si>
    <t>41,6216</t>
  </si>
  <si>
    <t>3080,0</t>
  </si>
  <si>
    <t>Донгак Рахим</t>
  </si>
  <si>
    <t>101,7837</t>
  </si>
  <si>
    <t>9130,0</t>
  </si>
  <si>
    <t>46,0</t>
  </si>
  <si>
    <t>55,0</t>
  </si>
  <si>
    <t>44,0</t>
  </si>
  <si>
    <t xml:space="preserve">Брянск/Брянская область </t>
  </si>
  <si>
    <t>74,60</t>
  </si>
  <si>
    <t>Мастера 40 - 44 (19.04.1976)/42</t>
  </si>
  <si>
    <t>2. Корнилов Дмитрий</t>
  </si>
  <si>
    <t>131,0</t>
  </si>
  <si>
    <t>87,90</t>
  </si>
  <si>
    <t>Мастера 40 - 44 (23.05.1975)/43</t>
  </si>
  <si>
    <t>1. Терёхин Юрий</t>
  </si>
  <si>
    <t>56,0</t>
  </si>
  <si>
    <t>74,00</t>
  </si>
  <si>
    <t>Открытая (26.05.1987)/31</t>
  </si>
  <si>
    <t>1. Донгак Рахим</t>
  </si>
  <si>
    <t>166,0</t>
  </si>
  <si>
    <t xml:space="preserve">Сухопаров Сергей </t>
  </si>
  <si>
    <t>27,5275</t>
  </si>
  <si>
    <t>2750,0</t>
  </si>
  <si>
    <t>Сухопаров Сергей</t>
  </si>
  <si>
    <t xml:space="preserve">Минск/ </t>
  </si>
  <si>
    <t>Открытая (15.11.1981)/37</t>
  </si>
  <si>
    <t>1. Сухопаров Сергей</t>
  </si>
  <si>
    <t xml:space="preserve">Бардин Владимир </t>
  </si>
  <si>
    <t>49,1642</t>
  </si>
  <si>
    <t>5000,0</t>
  </si>
  <si>
    <t>Бардин Владимир</t>
  </si>
  <si>
    <t>50,0</t>
  </si>
  <si>
    <t>100,0</t>
  </si>
  <si>
    <t>101,70</t>
  </si>
  <si>
    <t>Открытая (13.01.1985)/34</t>
  </si>
  <si>
    <t>1. Бардин Владимир</t>
  </si>
  <si>
    <t xml:space="preserve">Галицин Геннадий </t>
  </si>
  <si>
    <t>45,4545</t>
  </si>
  <si>
    <t>4050,0</t>
  </si>
  <si>
    <t>Галицин Геннадий</t>
  </si>
  <si>
    <t>54,0</t>
  </si>
  <si>
    <t>89,10</t>
  </si>
  <si>
    <t>Открытая (15.04.1985)/33</t>
  </si>
  <si>
    <t>1. Галицин Геннадий</t>
  </si>
  <si>
    <t xml:space="preserve">Хорев Артур </t>
  </si>
  <si>
    <t xml:space="preserve">Брик Ольга, Тюпко Григорий, Кропотов Владимир </t>
  </si>
  <si>
    <t>37,0318</t>
  </si>
  <si>
    <t>41,0603</t>
  </si>
  <si>
    <t>Кропотов Владимир</t>
  </si>
  <si>
    <t>45,4805</t>
  </si>
  <si>
    <t>65,0</t>
  </si>
  <si>
    <t>Тюпко Григорий</t>
  </si>
  <si>
    <t>45,9723</t>
  </si>
  <si>
    <t>72,5</t>
  </si>
  <si>
    <t>Хорев Артур</t>
  </si>
  <si>
    <t>41,9641</t>
  </si>
  <si>
    <t>67,5</t>
  </si>
  <si>
    <t>25,8645</t>
  </si>
  <si>
    <t>30,0</t>
  </si>
  <si>
    <t>60,0</t>
  </si>
  <si>
    <t>76,40</t>
  </si>
  <si>
    <t>Мастера 40 - 44 (12.01.1978)/41</t>
  </si>
  <si>
    <t>1. Кропотов Владимир</t>
  </si>
  <si>
    <t xml:space="preserve">Лыткарино/Московская область </t>
  </si>
  <si>
    <t>79,80</t>
  </si>
  <si>
    <t>Открытая (14.10.1986)/32</t>
  </si>
  <si>
    <t>1. Хорев Артур</t>
  </si>
  <si>
    <t>57,5</t>
  </si>
  <si>
    <t>1. Корнилов Дмитрий</t>
  </si>
  <si>
    <t>65,0o</t>
  </si>
  <si>
    <t xml:space="preserve">Челябинск/Челябинская область </t>
  </si>
  <si>
    <t>70,40</t>
  </si>
  <si>
    <t>Открытая (25.06.1990)/28</t>
  </si>
  <si>
    <t>1. Тюпко Григорий</t>
  </si>
  <si>
    <t>30,0o</t>
  </si>
  <si>
    <t>25,0o</t>
  </si>
  <si>
    <t>22,5o</t>
  </si>
  <si>
    <t>1. Брик Ольга</t>
  </si>
  <si>
    <t>Подъем на бицепс</t>
  </si>
  <si>
    <t>Кубок Восточной Европы по жиму штанги лёжа, становой тяге и силовым видам спорта "ЯРОСТЬ МИНОТАВРА", 22-23 марта 2019 года, Москва
Одиночный подъём штанги на бицепс Любители</t>
  </si>
  <si>
    <t>Кубок Восточной Европы по жиму штанги лёжа, становой тяге и силовым видам спорта "ЯРОСТЬ МИНОТАВРА", 22-23 марта 2019 года, Москва
Любители военный жим</t>
  </si>
  <si>
    <t>Кубок Восточной Европы по жиму штанги лёжа, становой тяге и силовым видам спорта "ЯРОСТЬ МИНОТАВРА", 22-23 марта 2019 года, Москва
СОВ жим лежа</t>
  </si>
  <si>
    <t>Кубок Восточной Европы по жиму штанги лёжа, становой тяге и силовым видам спорта "ЯРОСТЬ МИНОТАВРА", 22-23 марта 2019 года, Москва
Любители жим лежа без экипировки</t>
  </si>
  <si>
    <t>Кубок Восточной Европы по жиму штанги лёжа, становой тяге и силовым видам спорта "ЯРОСТЬ МИНОТАВРА", 22-23 марта 2019 года, Москва
ПРО жим лежа без экипировки</t>
  </si>
  <si>
    <t>Кубок Восточной Европы по жиму штанги лёжа, становой тяге и силовым видам спорта "ЯРОСТЬ МИНОТАВРА", 22-23 марта 2019 года, Москва
Любители жим лежа в софт экипировке</t>
  </si>
  <si>
    <t>Кубок Восточной Европы по жиму штанги лёжа, становой тяге и силовым видам спорта "ЯРОСТЬ МИНОТАВРА", 22-23 марта 2019 года, Москва
ПРО жим лежа в софт экипировке</t>
  </si>
  <si>
    <t>Кубок Восточной Европы по жиму штанги лёжа, становой тяге и силовым видам спорта "ЯРОСТЬ МИНОТАВРА", 22-23 марта 2019 года, Москва
Любители становая тяга без экипировки</t>
  </si>
  <si>
    <t>Кубок Восточной Европы по жиму штанги лёжа, становой тяге и силовым видам спорта "ЯРОСТЬ МИНОТАВРА", 22-23 марта 2019 года, Москва
ПРО становая тяга без экипировки</t>
  </si>
  <si>
    <t>2081,1735</t>
  </si>
  <si>
    <t>2835,0</t>
  </si>
  <si>
    <t xml:space="preserve">НАП Н.Ж. </t>
  </si>
  <si>
    <t>63,0</t>
  </si>
  <si>
    <t>45,0</t>
  </si>
  <si>
    <t>НАП Н.Ж.</t>
  </si>
  <si>
    <t>Кубок Восточной Европы по жиму штанги лёжа, становой тяге и силовым видам спорта "ЯРОСТЬ МИНОТАВРА", 22-23 марта 2019 года, Москва
Профессионалы народный жим (1/2 вес)</t>
  </si>
  <si>
    <t xml:space="preserve">Казаков Дмитрий </t>
  </si>
  <si>
    <t xml:space="preserve">Бардин Владимир, Сухопаров Сергей, Галицин Геннадий, Галицин Геннадий </t>
  </si>
  <si>
    <t>2984,5260</t>
  </si>
  <si>
    <t>4140,0</t>
  </si>
  <si>
    <t xml:space="preserve">Саб. мастера 33 - 39 </t>
  </si>
  <si>
    <t xml:space="preserve">Саб. </t>
  </si>
  <si>
    <t>2558,5229</t>
  </si>
  <si>
    <t>3177,5</t>
  </si>
  <si>
    <t>Казаков Дмитрий</t>
  </si>
  <si>
    <t>2782,5001</t>
  </si>
  <si>
    <t>4200,0</t>
  </si>
  <si>
    <t>3408,0841</t>
  </si>
  <si>
    <t>4920,0</t>
  </si>
  <si>
    <t>48,0</t>
  </si>
  <si>
    <t>102,5</t>
  </si>
  <si>
    <t>42,0</t>
  </si>
  <si>
    <t>Саб. мастера 33 - 39 (15.04.1985)/33</t>
  </si>
  <si>
    <t>41,0</t>
  </si>
  <si>
    <t>77,5o</t>
  </si>
  <si>
    <t xml:space="preserve">Дмитров/Московская область </t>
  </si>
  <si>
    <t>77,50</t>
  </si>
  <si>
    <t>Открытая (12.09.1990)/28</t>
  </si>
  <si>
    <t>1. Казаков Дмитрий</t>
  </si>
  <si>
    <t>Кубок Восточной Европы по жиму штанги лёжа, становой тяге и силовым видам спорта "ЯРОСТЬ МИНОТАВРА", 22-23 марта 2019 года, Москва
Профессионалы народный жим (1 вес)</t>
  </si>
  <si>
    <t>Кубок Восточной Европы по жиму штанги лёжа, становой тяге и силовым видам спорта "ЯРОСТЬ МИНОТАВРА", 22-23 марта 2019 года, Москва
Любители народный жим (1/2 вес)</t>
  </si>
  <si>
    <t xml:space="preserve">Карнаушкина Ирина, Талдыкин Алексей </t>
  </si>
  <si>
    <t>1437,7000</t>
  </si>
  <si>
    <t>2200,0</t>
  </si>
  <si>
    <t>1763,1250</t>
  </si>
  <si>
    <t>2170,0</t>
  </si>
  <si>
    <t>1781,9189</t>
  </si>
  <si>
    <t>2430,0</t>
  </si>
  <si>
    <t>1525,8200</t>
  </si>
  <si>
    <t>1550,0</t>
  </si>
  <si>
    <t>52</t>
  </si>
  <si>
    <t>1459,4125</t>
  </si>
  <si>
    <t>1625,0</t>
  </si>
  <si>
    <t>20,0</t>
  </si>
  <si>
    <t>27,0</t>
  </si>
  <si>
    <t>1. Талдыкин Алексей</t>
  </si>
  <si>
    <t>28,0</t>
  </si>
  <si>
    <t>25,0</t>
  </si>
  <si>
    <t>31,0</t>
  </si>
  <si>
    <t>50,0o</t>
  </si>
  <si>
    <t>ВЕСОВАЯ КАТЕГОРИЯ   52</t>
  </si>
  <si>
    <t>Кубок Восточной Европы по жиму штанги лёжа, становой тяге и силовым видам спорта "ЯРОСТЬ МИНОТАВРА", 22-23 марта 2019 года, Москва
Любители народный жим (1 вес)</t>
  </si>
  <si>
    <t>Кубок Восточной Европы по жиму штанги лёжа, становой тяге и силовым видам спорта "ЯРОСТЬ МИНОТАВРА", 22-23 марта 2019 года, Москва
Русская тяга</t>
  </si>
  <si>
    <t>Кубок Восточной Европы по жиму штанги лёжа, становой тяге и силовым видам спорта "ЯРОСТЬ МИНОТАВРА", 22-23 марта 2019 года, Москва
Жимовое двоеборье</t>
  </si>
  <si>
    <t>Русская тяга</t>
  </si>
  <si>
    <t>Коробейников Д.Ю.</t>
  </si>
  <si>
    <t>Кузьменко Е.В.</t>
  </si>
  <si>
    <t>Коробейников М.Ю.</t>
  </si>
  <si>
    <t>ВЕСОВАЯ КАТЕГОРИЯ   67,5</t>
  </si>
  <si>
    <t>Поцелуев Никита</t>
  </si>
  <si>
    <t>Юноши 20-23</t>
  </si>
  <si>
    <t>63,9</t>
  </si>
  <si>
    <t>Лично</t>
  </si>
  <si>
    <t>Раменское</t>
  </si>
  <si>
    <t>1500</t>
  </si>
  <si>
    <t>Коныхов И.В.</t>
  </si>
  <si>
    <t>Лыков Н.А.</t>
  </si>
  <si>
    <t>Жим лежа</t>
  </si>
  <si>
    <t>Народный жим</t>
  </si>
  <si>
    <t>Вес штанги</t>
  </si>
  <si>
    <t>повторы</t>
  </si>
  <si>
    <t>открытая</t>
  </si>
  <si>
    <t>87,6</t>
  </si>
  <si>
    <t>лично</t>
  </si>
  <si>
    <t>Липецк</t>
  </si>
  <si>
    <t>27</t>
  </si>
  <si>
    <t>182</t>
  </si>
  <si>
    <t>Кубок Восточной Европы по жиму штанги лёжа, становой тяге и силовым видам спорта "ЯРОСТЬ МИНОТАВРА", 22-23 марта 2019 года, Москва
Русский жим Профессионалы 125 кг.</t>
  </si>
  <si>
    <t>Кубок Восточной Европы по жиму штанги лёжа, становой тяге и силовым видам спорта "ЯРОСТЬ МИНОТАВРА", 22-23 марта 2019 года, Москва
Русский жим Профессионалы 100 кг.</t>
  </si>
  <si>
    <t>Кубок Восточной Европы по жиму штанги лёжа, становой тяге и силовым видам спорта "ЯРОСТЬ МИНОТАВРА", 22-23 марта 2019 года, Москва
Русский жим Профессионалы 75 кг.</t>
  </si>
  <si>
    <t>Кубок Восточной Европы по жиму штанги лёжа, становой тяге и силовым видам спорта "ЯРОСТЬ МИНОТАВРА", 22-23 марта 2019 года, Москва
Русский жим любители 35 кг.</t>
  </si>
  <si>
    <t>Кубок Восточной Европы по жиму штанги лёжа, становой тяге и силовым видам спорта "ЯРОСТЬ МИНОТАВРА", 22-23 марта 2019 года, Москва
Русский жим любители 55 кг.</t>
  </si>
  <si>
    <t>Кубок Восточной Европы по жиму штанги лёжа, становой тяге и силовым видам спорта "ЯРОСТЬ МИНОТАВРА", 22-23 марта 2019 года, Москва
Русский жим любители 75 кг.</t>
  </si>
  <si>
    <t>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</si>
</sst>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16.00390625" style="5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13.25390625" style="3" customWidth="1"/>
    <col min="10" max="10" width="17.25390625" style="3" customWidth="1"/>
    <col min="11" max="11" width="11.25390625" style="3" customWidth="1"/>
    <col min="12" max="13" width="7.00390625" style="3" hidden="1" customWidth="1"/>
    <col min="14" max="14" width="5.625" style="3" hidden="1" customWidth="1"/>
    <col min="15" max="16" width="7.00390625" style="3" hidden="1" customWidth="1"/>
    <col min="17" max="17" width="6.25390625" style="3" hidden="1" customWidth="1"/>
    <col min="18" max="18" width="5.625" style="3" hidden="1" customWidth="1"/>
    <col min="19" max="19" width="7.875" style="5" hidden="1" customWidth="1"/>
    <col min="20" max="20" width="8.625" style="6" hidden="1" customWidth="1"/>
    <col min="21" max="21" width="23.00390625" style="4" hidden="1" customWidth="1"/>
    <col min="22" max="16384" width="9.125" style="3" customWidth="1"/>
  </cols>
  <sheetData>
    <row r="1" spans="1:21" s="2" customFormat="1" ht="15" customHeight="1">
      <c r="A1" s="38" t="s">
        <v>596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10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11" ht="15">
      <c r="A3" s="47" t="s">
        <v>0</v>
      </c>
      <c r="B3" s="49" t="s">
        <v>6</v>
      </c>
      <c r="C3" s="49" t="s">
        <v>7</v>
      </c>
      <c r="D3" s="44" t="s">
        <v>4</v>
      </c>
      <c r="E3" s="44" t="s">
        <v>8</v>
      </c>
      <c r="F3" s="44" t="s">
        <v>610</v>
      </c>
      <c r="G3" s="44"/>
      <c r="H3" s="44"/>
      <c r="I3" s="50" t="s">
        <v>611</v>
      </c>
      <c r="J3" s="51"/>
      <c r="K3" s="44" t="s">
        <v>1</v>
      </c>
    </row>
    <row r="4" spans="1:11" ht="15.75" thickBot="1">
      <c r="A4" s="48"/>
      <c r="B4" s="45"/>
      <c r="C4" s="45"/>
      <c r="D4" s="45"/>
      <c r="E4" s="45"/>
      <c r="F4" s="7">
        <v>1</v>
      </c>
      <c r="G4" s="7">
        <v>2</v>
      </c>
      <c r="H4" s="7">
        <v>3</v>
      </c>
      <c r="I4" s="7" t="s">
        <v>612</v>
      </c>
      <c r="J4" s="7" t="s">
        <v>613</v>
      </c>
      <c r="K4" s="45"/>
    </row>
    <row r="5" spans="1:11" ht="15">
      <c r="A5" s="46" t="s">
        <v>21</v>
      </c>
      <c r="B5" s="46"/>
      <c r="C5" s="46"/>
      <c r="D5" s="46"/>
      <c r="E5" s="46"/>
      <c r="F5" s="46"/>
      <c r="G5" s="46"/>
      <c r="H5" s="46"/>
      <c r="I5" s="36"/>
      <c r="J5" s="36"/>
      <c r="K5" s="4"/>
    </row>
    <row r="6" spans="1:11" ht="12.75">
      <c r="A6" s="34" t="s">
        <v>127</v>
      </c>
      <c r="B6" s="34" t="s">
        <v>614</v>
      </c>
      <c r="C6" s="34" t="s">
        <v>615</v>
      </c>
      <c r="D6" s="34" t="s">
        <v>616</v>
      </c>
      <c r="E6" s="34" t="s">
        <v>617</v>
      </c>
      <c r="F6" s="10" t="s">
        <v>71</v>
      </c>
      <c r="G6" s="10" t="s">
        <v>132</v>
      </c>
      <c r="H6" s="9"/>
      <c r="I6" s="34" t="s">
        <v>59</v>
      </c>
      <c r="J6" s="35" t="s">
        <v>618</v>
      </c>
      <c r="K6" s="34" t="s">
        <v>619</v>
      </c>
    </row>
    <row r="10" spans="3:4" ht="15">
      <c r="C10" s="11" t="s">
        <v>46</v>
      </c>
      <c r="D10" s="11" t="s">
        <v>598</v>
      </c>
    </row>
    <row r="11" spans="3:4" ht="15">
      <c r="C11" s="11" t="s">
        <v>47</v>
      </c>
      <c r="D11" s="11" t="s">
        <v>599</v>
      </c>
    </row>
    <row r="12" spans="3:4" ht="15">
      <c r="C12" s="11" t="s">
        <v>48</v>
      </c>
      <c r="D12" s="11" t="s">
        <v>600</v>
      </c>
    </row>
    <row r="13" spans="3:4" ht="15">
      <c r="C13" s="11" t="s">
        <v>49</v>
      </c>
      <c r="D13" s="11" t="s">
        <v>609</v>
      </c>
    </row>
    <row r="14" spans="3:4" ht="15">
      <c r="C14" s="11" t="s">
        <v>49</v>
      </c>
      <c r="D14" s="11" t="s">
        <v>608</v>
      </c>
    </row>
  </sheetData>
  <sheetProtection/>
  <mergeCells count="10">
    <mergeCell ref="A1:U2"/>
    <mergeCell ref="K3:K4"/>
    <mergeCell ref="A5:H5"/>
    <mergeCell ref="A3:A4"/>
    <mergeCell ref="B3:B4"/>
    <mergeCell ref="C3:C4"/>
    <mergeCell ref="D3:D4"/>
    <mergeCell ref="E3:E4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7.75390625" style="4" bestFit="1" customWidth="1"/>
    <col min="4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40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480</v>
      </c>
      <c r="B6" s="8" t="s">
        <v>479</v>
      </c>
      <c r="C6" s="8" t="s">
        <v>262</v>
      </c>
      <c r="D6" s="8" t="str">
        <f>"1,0000"</f>
        <v>1,0000</v>
      </c>
      <c r="E6" s="8" t="s">
        <v>100</v>
      </c>
      <c r="F6" s="8" t="s">
        <v>478</v>
      </c>
      <c r="G6" s="10" t="s">
        <v>29</v>
      </c>
      <c r="H6" s="29" t="s">
        <v>424</v>
      </c>
      <c r="I6" s="8" t="str">
        <f>"2750,0"</f>
        <v>2750,0</v>
      </c>
      <c r="J6" s="10" t="str">
        <f>"27,5275"</f>
        <v>27,5275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5" s="3" customFormat="1" ht="15">
      <c r="A17" s="13" t="s">
        <v>51</v>
      </c>
      <c r="B17" s="13"/>
      <c r="C17" s="4"/>
      <c r="D17" s="4"/>
      <c r="E17" s="4"/>
    </row>
    <row r="18" spans="1:5" s="3" customFormat="1" ht="14.25">
      <c r="A18" s="15"/>
      <c r="B18" s="16" t="s">
        <v>177</v>
      </c>
      <c r="C18" s="4"/>
      <c r="D18" s="4"/>
      <c r="E18" s="4"/>
    </row>
    <row r="19" spans="1:5" s="3" customFormat="1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423</v>
      </c>
    </row>
    <row r="20" spans="1:5" s="3" customFormat="1" ht="12.75">
      <c r="A20" s="14" t="s">
        <v>477</v>
      </c>
      <c r="B20" s="4" t="s">
        <v>177</v>
      </c>
      <c r="C20" s="4" t="s">
        <v>422</v>
      </c>
      <c r="D20" s="4" t="s">
        <v>476</v>
      </c>
      <c r="E20" s="18" t="s">
        <v>475</v>
      </c>
    </row>
    <row r="25" spans="1:5" s="3" customFormat="1" ht="18">
      <c r="A25" s="12" t="s">
        <v>73</v>
      </c>
      <c r="B25" s="12"/>
      <c r="C25" s="4"/>
      <c r="D25" s="4"/>
      <c r="E25" s="4"/>
    </row>
    <row r="26" spans="1:5" s="3" customFormat="1" ht="15">
      <c r="A26" s="17" t="s">
        <v>74</v>
      </c>
      <c r="B26" s="17" t="s">
        <v>75</v>
      </c>
      <c r="C26" s="17" t="s">
        <v>76</v>
      </c>
      <c r="D26" s="4"/>
      <c r="E26" s="4"/>
    </row>
    <row r="27" spans="1:5" s="3" customFormat="1" ht="12.75">
      <c r="A27" s="4" t="s">
        <v>100</v>
      </c>
      <c r="B27" s="4" t="s">
        <v>79</v>
      </c>
      <c r="C27" s="4" t="s">
        <v>474</v>
      </c>
      <c r="D27" s="4"/>
      <c r="E27" s="4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9.25390625" style="4" bestFit="1" customWidth="1"/>
    <col min="4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24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440</v>
      </c>
      <c r="B6" s="8" t="s">
        <v>439</v>
      </c>
      <c r="C6" s="8" t="s">
        <v>438</v>
      </c>
      <c r="D6" s="8" t="str">
        <f>"1,0000"</f>
        <v>1,0000</v>
      </c>
      <c r="E6" s="8" t="s">
        <v>35</v>
      </c>
      <c r="F6" s="8" t="s">
        <v>36</v>
      </c>
      <c r="G6" s="10" t="s">
        <v>437</v>
      </c>
      <c r="H6" s="29" t="s">
        <v>436</v>
      </c>
      <c r="I6" s="8" t="str">
        <f>"2485,0"</f>
        <v>2485,0</v>
      </c>
      <c r="J6" s="10" t="str">
        <f>"50,3036"</f>
        <v>50,3036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5" s="3" customFormat="1" ht="15">
      <c r="A17" s="13" t="s">
        <v>176</v>
      </c>
      <c r="B17" s="13"/>
      <c r="C17" s="4"/>
      <c r="D17" s="4"/>
      <c r="E17" s="4"/>
    </row>
    <row r="18" spans="1:5" s="3" customFormat="1" ht="14.25">
      <c r="A18" s="15"/>
      <c r="B18" s="16" t="s">
        <v>65</v>
      </c>
      <c r="C18" s="4"/>
      <c r="D18" s="4"/>
      <c r="E18" s="4"/>
    </row>
    <row r="19" spans="1:5" s="3" customFormat="1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423</v>
      </c>
    </row>
    <row r="20" spans="1:5" s="3" customFormat="1" ht="12.75">
      <c r="A20" s="14" t="s">
        <v>435</v>
      </c>
      <c r="B20" s="4" t="s">
        <v>194</v>
      </c>
      <c r="C20" s="4" t="s">
        <v>422</v>
      </c>
      <c r="D20" s="4" t="s">
        <v>434</v>
      </c>
      <c r="E20" s="18" t="s">
        <v>433</v>
      </c>
    </row>
    <row r="25" spans="1:5" s="3" customFormat="1" ht="18">
      <c r="A25" s="12" t="s">
        <v>73</v>
      </c>
      <c r="B25" s="12"/>
      <c r="C25" s="4"/>
      <c r="D25" s="4"/>
      <c r="E25" s="4"/>
    </row>
    <row r="26" spans="1:5" s="3" customFormat="1" ht="15">
      <c r="A26" s="17" t="s">
        <v>74</v>
      </c>
      <c r="B26" s="17" t="s">
        <v>75</v>
      </c>
      <c r="C26" s="17" t="s">
        <v>76</v>
      </c>
      <c r="D26" s="4"/>
      <c r="E26" s="4"/>
    </row>
    <row r="27" spans="1:5" s="3" customFormat="1" ht="12.75">
      <c r="A27" s="4" t="s">
        <v>35</v>
      </c>
      <c r="B27" s="4" t="s">
        <v>79</v>
      </c>
      <c r="C27" s="4" t="s">
        <v>432</v>
      </c>
      <c r="D27" s="4"/>
      <c r="E27" s="4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25390625" style="4" customWidth="1"/>
    <col min="4" max="4" width="10.625" style="4" bestFit="1" customWidth="1"/>
    <col min="5" max="5" width="22.75390625" style="4" bestFit="1" customWidth="1"/>
    <col min="6" max="6" width="33.625" style="4" bestFit="1" customWidth="1"/>
    <col min="7" max="7" width="4.625" style="3" bestFit="1" customWidth="1"/>
    <col min="8" max="8" width="10.375" style="28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02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9" t="s">
        <v>23</v>
      </c>
      <c r="B6" s="19" t="s">
        <v>24</v>
      </c>
      <c r="C6" s="19" t="s">
        <v>25</v>
      </c>
      <c r="D6" s="19" t="str">
        <f>"1,0000"</f>
        <v>1,0000</v>
      </c>
      <c r="E6" s="19" t="s">
        <v>26</v>
      </c>
      <c r="F6" s="19" t="s">
        <v>27</v>
      </c>
      <c r="G6" s="21" t="s">
        <v>459</v>
      </c>
      <c r="H6" s="33" t="s">
        <v>473</v>
      </c>
      <c r="I6" s="19" t="str">
        <f>"9130,0"</f>
        <v>9130,0</v>
      </c>
      <c r="J6" s="21" t="str">
        <f>"101,7837"</f>
        <v>101,7837</v>
      </c>
      <c r="K6" s="19" t="s">
        <v>20</v>
      </c>
    </row>
    <row r="7" spans="1:11" ht="12.75">
      <c r="A7" s="25" t="s">
        <v>472</v>
      </c>
      <c r="B7" s="25" t="s">
        <v>471</v>
      </c>
      <c r="C7" s="25" t="s">
        <v>470</v>
      </c>
      <c r="D7" s="25" t="str">
        <f>"1,0000"</f>
        <v>1,0000</v>
      </c>
      <c r="E7" s="25" t="s">
        <v>35</v>
      </c>
      <c r="F7" s="25" t="s">
        <v>36</v>
      </c>
      <c r="G7" s="27" t="s">
        <v>459</v>
      </c>
      <c r="H7" s="32" t="s">
        <v>469</v>
      </c>
      <c r="I7" s="25" t="str">
        <f>"3080,0"</f>
        <v>3080,0</v>
      </c>
      <c r="J7" s="27" t="str">
        <f>"41,6216"</f>
        <v>41,6216</v>
      </c>
      <c r="K7" s="25" t="s">
        <v>20</v>
      </c>
    </row>
    <row r="8" spans="1:11" ht="12.75">
      <c r="A8" s="25" t="s">
        <v>468</v>
      </c>
      <c r="B8" s="25" t="s">
        <v>467</v>
      </c>
      <c r="C8" s="25" t="s">
        <v>466</v>
      </c>
      <c r="D8" s="25" t="str">
        <f>"1,0000"</f>
        <v>1,0000</v>
      </c>
      <c r="E8" s="25" t="s">
        <v>35</v>
      </c>
      <c r="F8" s="25" t="s">
        <v>36</v>
      </c>
      <c r="G8" s="27" t="s">
        <v>459</v>
      </c>
      <c r="H8" s="32" t="s">
        <v>465</v>
      </c>
      <c r="I8" s="25" t="str">
        <f>"7205,0"</f>
        <v>7205,0</v>
      </c>
      <c r="J8" s="27" t="str">
        <f>"81,9681"</f>
        <v>81,9681</v>
      </c>
      <c r="K8" s="25" t="s">
        <v>20</v>
      </c>
    </row>
    <row r="9" spans="1:11" ht="12.75">
      <c r="A9" s="25" t="s">
        <v>464</v>
      </c>
      <c r="B9" s="25" t="s">
        <v>463</v>
      </c>
      <c r="C9" s="25" t="s">
        <v>462</v>
      </c>
      <c r="D9" s="25" t="str">
        <f>"1,0000"</f>
        <v>1,0000</v>
      </c>
      <c r="E9" s="25" t="s">
        <v>443</v>
      </c>
      <c r="F9" s="25" t="s">
        <v>461</v>
      </c>
      <c r="G9" s="27" t="s">
        <v>459</v>
      </c>
      <c r="H9" s="32" t="s">
        <v>460</v>
      </c>
      <c r="I9" s="25" t="str">
        <f>"2420,0"</f>
        <v>2420,0</v>
      </c>
      <c r="J9" s="27" t="str">
        <f>"32,4396"</f>
        <v>32,4396</v>
      </c>
      <c r="K9" s="25" t="s">
        <v>20</v>
      </c>
    </row>
    <row r="10" spans="1:11" ht="12.75">
      <c r="A10" s="22" t="s">
        <v>363</v>
      </c>
      <c r="B10" s="22" t="s">
        <v>364</v>
      </c>
      <c r="C10" s="22" t="s">
        <v>365</v>
      </c>
      <c r="D10" s="22" t="str">
        <f>"1,0000"</f>
        <v>1,0000</v>
      </c>
      <c r="E10" s="22" t="s">
        <v>100</v>
      </c>
      <c r="F10" s="22" t="s">
        <v>36</v>
      </c>
      <c r="G10" s="24" t="s">
        <v>459</v>
      </c>
      <c r="H10" s="31" t="s">
        <v>458</v>
      </c>
      <c r="I10" s="22" t="str">
        <f>"2530,0"</f>
        <v>2530,0</v>
      </c>
      <c r="J10" s="24" t="str">
        <f>"28,4909"</f>
        <v>28,4909</v>
      </c>
      <c r="K10" s="22" t="s">
        <v>20</v>
      </c>
    </row>
    <row r="12" spans="5:6" ht="15">
      <c r="E12" s="11" t="s">
        <v>46</v>
      </c>
      <c r="F12" s="11" t="s">
        <v>598</v>
      </c>
    </row>
    <row r="13" spans="5:6" ht="15">
      <c r="E13" s="11" t="s">
        <v>47</v>
      </c>
      <c r="F13" s="11" t="s">
        <v>599</v>
      </c>
    </row>
    <row r="14" spans="5:6" ht="15">
      <c r="E14" s="11" t="s">
        <v>48</v>
      </c>
      <c r="F14" s="11" t="s">
        <v>600</v>
      </c>
    </row>
    <row r="15" spans="5:6" ht="15">
      <c r="E15" s="11" t="s">
        <v>49</v>
      </c>
      <c r="F15" s="11" t="s">
        <v>609</v>
      </c>
    </row>
    <row r="16" spans="5:6" ht="15">
      <c r="E16" s="11" t="s">
        <v>49</v>
      </c>
      <c r="F16" s="11" t="s">
        <v>608</v>
      </c>
    </row>
    <row r="17" spans="1:5" s="3" customFormat="1" ht="15">
      <c r="A17" s="4"/>
      <c r="B17" s="4"/>
      <c r="C17" s="4"/>
      <c r="D17" s="4"/>
      <c r="E17" s="11"/>
    </row>
    <row r="18" spans="1:5" s="3" customFormat="1" ht="15">
      <c r="A18" s="4"/>
      <c r="B18" s="4"/>
      <c r="C18" s="4"/>
      <c r="D18" s="4"/>
      <c r="E18" s="11"/>
    </row>
    <row r="20" spans="1:5" s="3" customFormat="1" ht="18">
      <c r="A20" s="12" t="s">
        <v>50</v>
      </c>
      <c r="B20" s="12"/>
      <c r="C20" s="4"/>
      <c r="D20" s="4"/>
      <c r="E20" s="4"/>
    </row>
    <row r="21" spans="1:5" s="3" customFormat="1" ht="15">
      <c r="A21" s="13" t="s">
        <v>51</v>
      </c>
      <c r="B21" s="13"/>
      <c r="C21" s="4"/>
      <c r="D21" s="4"/>
      <c r="E21" s="4"/>
    </row>
    <row r="22" spans="1:5" s="3" customFormat="1" ht="14.25">
      <c r="A22" s="15"/>
      <c r="B22" s="16" t="s">
        <v>52</v>
      </c>
      <c r="C22" s="4"/>
      <c r="D22" s="4"/>
      <c r="E22" s="4"/>
    </row>
    <row r="23" spans="1:5" s="3" customFormat="1" ht="15">
      <c r="A23" s="17" t="s">
        <v>53</v>
      </c>
      <c r="B23" s="17" t="s">
        <v>54</v>
      </c>
      <c r="C23" s="17" t="s">
        <v>55</v>
      </c>
      <c r="D23" s="17" t="s">
        <v>56</v>
      </c>
      <c r="E23" s="17" t="s">
        <v>423</v>
      </c>
    </row>
    <row r="24" spans="1:5" s="3" customFormat="1" ht="12.75">
      <c r="A24" s="14" t="s">
        <v>22</v>
      </c>
      <c r="B24" s="4" t="s">
        <v>58</v>
      </c>
      <c r="C24" s="4" t="s">
        <v>422</v>
      </c>
      <c r="D24" s="4" t="s">
        <v>457</v>
      </c>
      <c r="E24" s="18" t="s">
        <v>456</v>
      </c>
    </row>
    <row r="26" spans="1:5" s="3" customFormat="1" ht="14.25">
      <c r="A26" s="15"/>
      <c r="B26" s="16" t="s">
        <v>177</v>
      </c>
      <c r="C26" s="4"/>
      <c r="D26" s="4"/>
      <c r="E26" s="4"/>
    </row>
    <row r="27" spans="1:5" s="3" customFormat="1" ht="15">
      <c r="A27" s="17" t="s">
        <v>53</v>
      </c>
      <c r="B27" s="17" t="s">
        <v>54</v>
      </c>
      <c r="C27" s="17" t="s">
        <v>55</v>
      </c>
      <c r="D27" s="17" t="s">
        <v>56</v>
      </c>
      <c r="E27" s="17" t="s">
        <v>423</v>
      </c>
    </row>
    <row r="28" spans="1:5" s="3" customFormat="1" ht="12.75">
      <c r="A28" s="14" t="s">
        <v>455</v>
      </c>
      <c r="B28" s="4" t="s">
        <v>177</v>
      </c>
      <c r="C28" s="4" t="s">
        <v>422</v>
      </c>
      <c r="D28" s="4" t="s">
        <v>454</v>
      </c>
      <c r="E28" s="18" t="s">
        <v>453</v>
      </c>
    </row>
    <row r="30" spans="1:5" s="3" customFormat="1" ht="14.25">
      <c r="A30" s="15"/>
      <c r="B30" s="16" t="s">
        <v>65</v>
      </c>
      <c r="C30" s="4"/>
      <c r="D30" s="4"/>
      <c r="E30" s="4"/>
    </row>
    <row r="31" spans="1:5" s="3" customFormat="1" ht="15">
      <c r="A31" s="17" t="s">
        <v>53</v>
      </c>
      <c r="B31" s="17" t="s">
        <v>54</v>
      </c>
      <c r="C31" s="17" t="s">
        <v>55</v>
      </c>
      <c r="D31" s="17" t="s">
        <v>56</v>
      </c>
      <c r="E31" s="17" t="s">
        <v>423</v>
      </c>
    </row>
    <row r="32" spans="1:5" s="3" customFormat="1" ht="12.75">
      <c r="A32" s="14" t="s">
        <v>452</v>
      </c>
      <c r="B32" s="4" t="s">
        <v>69</v>
      </c>
      <c r="C32" s="4" t="s">
        <v>422</v>
      </c>
      <c r="D32" s="4" t="s">
        <v>451</v>
      </c>
      <c r="E32" s="18" t="s">
        <v>450</v>
      </c>
    </row>
    <row r="33" spans="1:5" s="3" customFormat="1" ht="12.75">
      <c r="A33" s="14" t="s">
        <v>449</v>
      </c>
      <c r="B33" s="4" t="s">
        <v>69</v>
      </c>
      <c r="C33" s="4" t="s">
        <v>422</v>
      </c>
      <c r="D33" s="4" t="s">
        <v>448</v>
      </c>
      <c r="E33" s="18" t="s">
        <v>447</v>
      </c>
    </row>
    <row r="34" spans="1:5" s="3" customFormat="1" ht="12.75">
      <c r="A34" s="14" t="s">
        <v>362</v>
      </c>
      <c r="B34" s="4" t="s">
        <v>194</v>
      </c>
      <c r="C34" s="4" t="s">
        <v>422</v>
      </c>
      <c r="D34" s="4" t="s">
        <v>446</v>
      </c>
      <c r="E34" s="18" t="s">
        <v>445</v>
      </c>
    </row>
    <row r="39" spans="1:5" s="3" customFormat="1" ht="18">
      <c r="A39" s="12" t="s">
        <v>73</v>
      </c>
      <c r="B39" s="12"/>
      <c r="C39" s="4"/>
      <c r="D39" s="4"/>
      <c r="E39" s="4"/>
    </row>
    <row r="40" spans="1:5" s="3" customFormat="1" ht="15">
      <c r="A40" s="17" t="s">
        <v>74</v>
      </c>
      <c r="B40" s="17" t="s">
        <v>75</v>
      </c>
      <c r="C40" s="17" t="s">
        <v>76</v>
      </c>
      <c r="D40" s="4"/>
      <c r="E40" s="4"/>
    </row>
    <row r="41" spans="1:5" s="3" customFormat="1" ht="12.75">
      <c r="A41" s="4" t="s">
        <v>35</v>
      </c>
      <c r="B41" s="4" t="s">
        <v>77</v>
      </c>
      <c r="C41" s="4" t="s">
        <v>444</v>
      </c>
      <c r="D41" s="4"/>
      <c r="E41" s="4"/>
    </row>
    <row r="42" spans="1:5" s="3" customFormat="1" ht="12.75">
      <c r="A42" s="4" t="s">
        <v>100</v>
      </c>
      <c r="B42" s="4" t="s">
        <v>79</v>
      </c>
      <c r="C42" s="4" t="s">
        <v>394</v>
      </c>
      <c r="D42" s="4"/>
      <c r="E42" s="4"/>
    </row>
    <row r="43" spans="1:5" s="3" customFormat="1" ht="12.75">
      <c r="A43" s="4" t="s">
        <v>26</v>
      </c>
      <c r="B43" s="4" t="s">
        <v>79</v>
      </c>
      <c r="C43" s="4" t="s">
        <v>81</v>
      </c>
      <c r="D43" s="4"/>
      <c r="E43" s="4"/>
    </row>
    <row r="44" spans="1:5" s="3" customFormat="1" ht="12.75">
      <c r="A44" s="4" t="s">
        <v>443</v>
      </c>
      <c r="B44" s="4" t="s">
        <v>442</v>
      </c>
      <c r="C44" s="4" t="s">
        <v>441</v>
      </c>
      <c r="D44" s="4"/>
      <c r="E44" s="4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25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146</v>
      </c>
      <c r="B6" s="8" t="s">
        <v>147</v>
      </c>
      <c r="C6" s="8" t="s">
        <v>148</v>
      </c>
      <c r="D6" s="8" t="str">
        <f>"1,0000"</f>
        <v>1,0000</v>
      </c>
      <c r="E6" s="8" t="s">
        <v>149</v>
      </c>
      <c r="F6" s="8" t="s">
        <v>150</v>
      </c>
      <c r="G6" s="10" t="s">
        <v>425</v>
      </c>
      <c r="H6" s="29" t="s">
        <v>424</v>
      </c>
      <c r="I6" s="8" t="str">
        <f>"1650,0"</f>
        <v>1650,0</v>
      </c>
      <c r="J6" s="10" t="str">
        <f>"18,8571"</f>
        <v>18,8571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5" s="3" customFormat="1" ht="15">
      <c r="A17" s="13" t="s">
        <v>51</v>
      </c>
      <c r="B17" s="13"/>
      <c r="C17" s="4"/>
      <c r="D17" s="4"/>
      <c r="E17" s="4"/>
    </row>
    <row r="18" spans="1:5" s="3" customFormat="1" ht="14.25">
      <c r="A18" s="15"/>
      <c r="B18" s="16" t="s">
        <v>65</v>
      </c>
      <c r="C18" s="4"/>
      <c r="D18" s="4"/>
      <c r="E18" s="4"/>
    </row>
    <row r="19" spans="1:5" s="3" customFormat="1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423</v>
      </c>
    </row>
    <row r="20" spans="1:5" s="3" customFormat="1" ht="12.75">
      <c r="A20" s="14" t="s">
        <v>145</v>
      </c>
      <c r="B20" s="4" t="s">
        <v>189</v>
      </c>
      <c r="C20" s="4" t="s">
        <v>422</v>
      </c>
      <c r="D20" s="4" t="s">
        <v>421</v>
      </c>
      <c r="E20" s="18" t="s">
        <v>420</v>
      </c>
    </row>
    <row r="25" spans="1:5" s="3" customFormat="1" ht="18">
      <c r="A25" s="12" t="s">
        <v>73</v>
      </c>
      <c r="B25" s="12"/>
      <c r="C25" s="4"/>
      <c r="D25" s="4"/>
      <c r="E25" s="4"/>
    </row>
    <row r="26" spans="1:5" s="3" customFormat="1" ht="15">
      <c r="A26" s="17" t="s">
        <v>74</v>
      </c>
      <c r="B26" s="17" t="s">
        <v>75</v>
      </c>
      <c r="C26" s="17" t="s">
        <v>76</v>
      </c>
      <c r="D26" s="4"/>
      <c r="E26" s="4"/>
    </row>
    <row r="27" spans="1:5" s="3" customFormat="1" ht="12.75">
      <c r="A27" s="4" t="s">
        <v>149</v>
      </c>
      <c r="B27" s="4" t="s">
        <v>79</v>
      </c>
      <c r="C27" s="4" t="s">
        <v>199</v>
      </c>
      <c r="D27" s="4"/>
      <c r="E27" s="4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5.75390625" style="4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98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326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397</v>
      </c>
      <c r="B6" s="8" t="s">
        <v>398</v>
      </c>
      <c r="C6" s="8" t="s">
        <v>399</v>
      </c>
      <c r="D6" s="8" t="str">
        <f>"0,6235"</f>
        <v>0,6235</v>
      </c>
      <c r="E6" s="8" t="s">
        <v>100</v>
      </c>
      <c r="F6" s="8" t="s">
        <v>263</v>
      </c>
      <c r="G6" s="10" t="s">
        <v>251</v>
      </c>
      <c r="H6" s="10" t="s">
        <v>400</v>
      </c>
      <c r="I6" s="9" t="s">
        <v>278</v>
      </c>
      <c r="J6" s="9"/>
      <c r="K6" s="8" t="str">
        <f>"290,0"</f>
        <v>290,0</v>
      </c>
      <c r="L6" s="10" t="str">
        <f>"180,8150"</f>
        <v>180,8150</v>
      </c>
      <c r="M6" s="8" t="s">
        <v>20</v>
      </c>
    </row>
    <row r="8" spans="1:12" ht="15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8" t="s">
        <v>402</v>
      </c>
      <c r="B9" s="8" t="s">
        <v>403</v>
      </c>
      <c r="C9" s="8" t="s">
        <v>404</v>
      </c>
      <c r="D9" s="8" t="str">
        <f>"0,5857"</f>
        <v>0,5857</v>
      </c>
      <c r="E9" s="8" t="s">
        <v>155</v>
      </c>
      <c r="F9" s="8" t="s">
        <v>156</v>
      </c>
      <c r="G9" s="10" t="s">
        <v>405</v>
      </c>
      <c r="H9" s="10" t="s">
        <v>251</v>
      </c>
      <c r="I9" s="9" t="s">
        <v>406</v>
      </c>
      <c r="J9" s="9"/>
      <c r="K9" s="8" t="str">
        <f>"275,0"</f>
        <v>275,0</v>
      </c>
      <c r="L9" s="10" t="str">
        <f>"161,0675"</f>
        <v>161,0675</v>
      </c>
      <c r="M9" s="8" t="s">
        <v>20</v>
      </c>
    </row>
    <row r="11" spans="1:12" ht="15">
      <c r="A11" s="54" t="s">
        <v>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8" t="s">
        <v>210</v>
      </c>
      <c r="B12" s="8" t="s">
        <v>211</v>
      </c>
      <c r="C12" s="8" t="s">
        <v>212</v>
      </c>
      <c r="D12" s="8" t="str">
        <f>"0,5583"</f>
        <v>0,5583</v>
      </c>
      <c r="E12" s="8" t="s">
        <v>100</v>
      </c>
      <c r="F12" s="8" t="s">
        <v>213</v>
      </c>
      <c r="G12" s="10" t="s">
        <v>406</v>
      </c>
      <c r="H12" s="10" t="s">
        <v>373</v>
      </c>
      <c r="I12" s="10" t="s">
        <v>407</v>
      </c>
      <c r="J12" s="9"/>
      <c r="K12" s="8" t="str">
        <f>"305,0"</f>
        <v>305,0</v>
      </c>
      <c r="L12" s="10" t="str">
        <f>"170,2815"</f>
        <v>170,2815</v>
      </c>
      <c r="M12" s="8" t="s">
        <v>20</v>
      </c>
    </row>
    <row r="14" spans="1:12" ht="15">
      <c r="A14" s="54" t="s">
        <v>39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12.75">
      <c r="A15" s="8" t="s">
        <v>409</v>
      </c>
      <c r="B15" s="8" t="s">
        <v>410</v>
      </c>
      <c r="C15" s="8" t="s">
        <v>411</v>
      </c>
      <c r="D15" s="8" t="str">
        <f>"0,5493"</f>
        <v>0,5493</v>
      </c>
      <c r="E15" s="8" t="s">
        <v>100</v>
      </c>
      <c r="F15" s="8" t="s">
        <v>36</v>
      </c>
      <c r="G15" s="10" t="s">
        <v>311</v>
      </c>
      <c r="H15" s="10" t="s">
        <v>412</v>
      </c>
      <c r="I15" s="9" t="s">
        <v>413</v>
      </c>
      <c r="J15" s="9"/>
      <c r="K15" s="8" t="str">
        <f>"335,0"</f>
        <v>335,0</v>
      </c>
      <c r="L15" s="10" t="str">
        <f>"184,0155"</f>
        <v>184,0155</v>
      </c>
      <c r="M15" s="8" t="s">
        <v>20</v>
      </c>
    </row>
    <row r="17" spans="5:6" ht="15">
      <c r="E17" s="11" t="s">
        <v>46</v>
      </c>
      <c r="F17" s="11" t="s">
        <v>598</v>
      </c>
    </row>
    <row r="18" spans="5:6" ht="15">
      <c r="E18" s="11" t="s">
        <v>47</v>
      </c>
      <c r="F18" s="11" t="s">
        <v>599</v>
      </c>
    </row>
    <row r="19" spans="5:6" ht="15">
      <c r="E19" s="11" t="s">
        <v>48</v>
      </c>
      <c r="F19" s="11" t="s">
        <v>600</v>
      </c>
    </row>
    <row r="20" spans="5:6" ht="15">
      <c r="E20" s="11" t="s">
        <v>49</v>
      </c>
      <c r="F20" s="11" t="s">
        <v>609</v>
      </c>
    </row>
    <row r="21" spans="5:6" ht="15">
      <c r="E21" s="11" t="s">
        <v>49</v>
      </c>
      <c r="F21" s="11" t="s">
        <v>608</v>
      </c>
    </row>
    <row r="22" ht="15">
      <c r="E22" s="11"/>
    </row>
    <row r="23" ht="15">
      <c r="E23" s="11"/>
    </row>
    <row r="25" spans="1:2" ht="18">
      <c r="A25" s="12" t="s">
        <v>50</v>
      </c>
      <c r="B25" s="12"/>
    </row>
    <row r="26" spans="1:2" ht="15">
      <c r="A26" s="13" t="s">
        <v>51</v>
      </c>
      <c r="B26" s="13"/>
    </row>
    <row r="27" spans="1:2" ht="14.25">
      <c r="A27" s="15"/>
      <c r="B27" s="16" t="s">
        <v>177</v>
      </c>
    </row>
    <row r="28" spans="1:5" ht="15">
      <c r="A28" s="17" t="s">
        <v>53</v>
      </c>
      <c r="B28" s="17" t="s">
        <v>54</v>
      </c>
      <c r="C28" s="17" t="s">
        <v>55</v>
      </c>
      <c r="D28" s="17" t="s">
        <v>56</v>
      </c>
      <c r="E28" s="17" t="s">
        <v>57</v>
      </c>
    </row>
    <row r="29" spans="1:5" ht="12.75">
      <c r="A29" s="14" t="s">
        <v>408</v>
      </c>
      <c r="B29" s="4" t="s">
        <v>177</v>
      </c>
      <c r="C29" s="4" t="s">
        <v>67</v>
      </c>
      <c r="D29" s="4" t="s">
        <v>412</v>
      </c>
      <c r="E29" s="18" t="s">
        <v>414</v>
      </c>
    </row>
    <row r="30" spans="1:5" ht="12.75">
      <c r="A30" s="14" t="s">
        <v>396</v>
      </c>
      <c r="B30" s="4" t="s">
        <v>177</v>
      </c>
      <c r="C30" s="4" t="s">
        <v>63</v>
      </c>
      <c r="D30" s="4" t="s">
        <v>400</v>
      </c>
      <c r="E30" s="18" t="s">
        <v>415</v>
      </c>
    </row>
    <row r="31" spans="1:5" ht="12.75">
      <c r="A31" s="14" t="s">
        <v>209</v>
      </c>
      <c r="B31" s="4" t="s">
        <v>177</v>
      </c>
      <c r="C31" s="4" t="s">
        <v>70</v>
      </c>
      <c r="D31" s="4" t="s">
        <v>407</v>
      </c>
      <c r="E31" s="18" t="s">
        <v>416</v>
      </c>
    </row>
    <row r="32" spans="1:5" ht="12.75">
      <c r="A32" s="14" t="s">
        <v>401</v>
      </c>
      <c r="B32" s="4" t="s">
        <v>177</v>
      </c>
      <c r="C32" s="4" t="s">
        <v>59</v>
      </c>
      <c r="D32" s="4" t="s">
        <v>251</v>
      </c>
      <c r="E32" s="18" t="s">
        <v>417</v>
      </c>
    </row>
    <row r="37" spans="1:2" ht="18">
      <c r="A37" s="12" t="s">
        <v>73</v>
      </c>
      <c r="B37" s="12"/>
    </row>
    <row r="38" spans="1:3" ht="15">
      <c r="A38" s="17" t="s">
        <v>74</v>
      </c>
      <c r="B38" s="17" t="s">
        <v>75</v>
      </c>
      <c r="C38" s="17" t="s">
        <v>76</v>
      </c>
    </row>
    <row r="39" spans="1:3" ht="12.75">
      <c r="A39" s="4" t="s">
        <v>100</v>
      </c>
      <c r="B39" s="4" t="s">
        <v>391</v>
      </c>
      <c r="C39" s="4" t="s">
        <v>418</v>
      </c>
    </row>
    <row r="40" spans="1:3" ht="12.75">
      <c r="A40" s="4" t="s">
        <v>155</v>
      </c>
      <c r="B40" s="4" t="s">
        <v>79</v>
      </c>
      <c r="C40" s="4" t="s">
        <v>419</v>
      </c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D36" sqref="D36:E3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4.75390625" style="4" customWidth="1"/>
    <col min="4" max="4" width="9.25390625" style="4" bestFit="1" customWidth="1"/>
    <col min="5" max="5" width="22.75390625" style="4" bestFit="1" customWidth="1"/>
    <col min="6" max="6" width="34.125" style="4" bestFit="1" customWidth="1"/>
    <col min="7" max="7" width="5.625" style="3" bestFit="1" customWidth="1"/>
    <col min="8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113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326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327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329</v>
      </c>
      <c r="B6" s="8" t="s">
        <v>330</v>
      </c>
      <c r="C6" s="8" t="s">
        <v>331</v>
      </c>
      <c r="D6" s="8" t="str">
        <f>"1,0557"</f>
        <v>1,0557</v>
      </c>
      <c r="E6" s="8" t="s">
        <v>332</v>
      </c>
      <c r="F6" s="8" t="s">
        <v>36</v>
      </c>
      <c r="G6" s="10" t="s">
        <v>333</v>
      </c>
      <c r="H6" s="9" t="s">
        <v>334</v>
      </c>
      <c r="I6" s="10" t="s">
        <v>334</v>
      </c>
      <c r="J6" s="9"/>
      <c r="K6" s="8" t="str">
        <f>"110,0"</f>
        <v>110,0</v>
      </c>
      <c r="L6" s="10" t="str">
        <f>"116,1270"</f>
        <v>116,1270</v>
      </c>
      <c r="M6" s="8" t="s">
        <v>20</v>
      </c>
    </row>
    <row r="8" spans="1:12" ht="15">
      <c r="A8" s="54" t="s">
        <v>201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8" t="s">
        <v>336</v>
      </c>
      <c r="B9" s="8" t="s">
        <v>337</v>
      </c>
      <c r="C9" s="8" t="s">
        <v>338</v>
      </c>
      <c r="D9" s="8" t="str">
        <f>"0,8622"</f>
        <v>0,8622</v>
      </c>
      <c r="E9" s="8" t="s">
        <v>35</v>
      </c>
      <c r="F9" s="8" t="s">
        <v>36</v>
      </c>
      <c r="G9" s="9" t="s">
        <v>339</v>
      </c>
      <c r="H9" s="9" t="s">
        <v>339</v>
      </c>
      <c r="I9" s="9" t="s">
        <v>339</v>
      </c>
      <c r="J9" s="9"/>
      <c r="K9" s="8" t="str">
        <f>"0.00"</f>
        <v>0.00</v>
      </c>
      <c r="L9" s="10" t="str">
        <f>"0,0000"</f>
        <v>0,0000</v>
      </c>
      <c r="M9" s="8" t="s">
        <v>20</v>
      </c>
    </row>
    <row r="11" spans="1:12" ht="15">
      <c r="A11" s="54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19" t="s">
        <v>341</v>
      </c>
      <c r="B12" s="19" t="s">
        <v>342</v>
      </c>
      <c r="C12" s="19" t="s">
        <v>343</v>
      </c>
      <c r="D12" s="19" t="str">
        <f>"0,6257"</f>
        <v>0,6257</v>
      </c>
      <c r="E12" s="19" t="s">
        <v>332</v>
      </c>
      <c r="F12" s="19" t="s">
        <v>344</v>
      </c>
      <c r="G12" s="21" t="s">
        <v>345</v>
      </c>
      <c r="H12" s="21" t="s">
        <v>45</v>
      </c>
      <c r="I12" s="21" t="s">
        <v>192</v>
      </c>
      <c r="J12" s="20"/>
      <c r="K12" s="19" t="str">
        <f>"187,5"</f>
        <v>187,5</v>
      </c>
      <c r="L12" s="21" t="str">
        <f>"138,4361"</f>
        <v>138,4361</v>
      </c>
      <c r="M12" s="19" t="s">
        <v>20</v>
      </c>
    </row>
    <row r="13" spans="1:13" ht="12.75">
      <c r="A13" s="25" t="s">
        <v>347</v>
      </c>
      <c r="B13" s="25" t="s">
        <v>348</v>
      </c>
      <c r="C13" s="25" t="s">
        <v>349</v>
      </c>
      <c r="D13" s="25" t="str">
        <f>"0,6524"</f>
        <v>0,6524</v>
      </c>
      <c r="E13" s="25" t="s">
        <v>26</v>
      </c>
      <c r="F13" s="25" t="s">
        <v>27</v>
      </c>
      <c r="G13" s="27" t="s">
        <v>132</v>
      </c>
      <c r="H13" s="27" t="s">
        <v>345</v>
      </c>
      <c r="I13" s="27" t="s">
        <v>350</v>
      </c>
      <c r="J13" s="26"/>
      <c r="K13" s="25" t="str">
        <f>"172,5"</f>
        <v>172,5</v>
      </c>
      <c r="L13" s="27" t="str">
        <f>"112,5390"</f>
        <v>112,5390</v>
      </c>
      <c r="M13" s="25" t="s">
        <v>20</v>
      </c>
    </row>
    <row r="14" spans="1:13" ht="12.75">
      <c r="A14" s="22" t="s">
        <v>351</v>
      </c>
      <c r="B14" s="22" t="s">
        <v>352</v>
      </c>
      <c r="C14" s="22" t="s">
        <v>353</v>
      </c>
      <c r="D14" s="22" t="str">
        <f>"0,6246"</f>
        <v>0,6246</v>
      </c>
      <c r="E14" s="22" t="s">
        <v>35</v>
      </c>
      <c r="F14" s="22" t="s">
        <v>36</v>
      </c>
      <c r="G14" s="23" t="s">
        <v>221</v>
      </c>
      <c r="H14" s="23" t="s">
        <v>221</v>
      </c>
      <c r="I14" s="23" t="s">
        <v>221</v>
      </c>
      <c r="J14" s="23"/>
      <c r="K14" s="22" t="str">
        <f>"0.00"</f>
        <v>0.00</v>
      </c>
      <c r="L14" s="24" t="str">
        <f>"0,0000"</f>
        <v>0,0000</v>
      </c>
      <c r="M14" s="22" t="s">
        <v>20</v>
      </c>
    </row>
    <row r="16" spans="1:12" ht="15">
      <c r="A16" s="54" t="s">
        <v>21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19" t="s">
        <v>355</v>
      </c>
      <c r="B17" s="19" t="s">
        <v>356</v>
      </c>
      <c r="C17" s="19" t="s">
        <v>357</v>
      </c>
      <c r="D17" s="19" t="str">
        <f>"0,5905"</f>
        <v>0,5905</v>
      </c>
      <c r="E17" s="19" t="s">
        <v>35</v>
      </c>
      <c r="F17" s="19" t="s">
        <v>358</v>
      </c>
      <c r="G17" s="21" t="s">
        <v>182</v>
      </c>
      <c r="H17" s="20" t="s">
        <v>359</v>
      </c>
      <c r="I17" s="20" t="s">
        <v>359</v>
      </c>
      <c r="J17" s="20"/>
      <c r="K17" s="19" t="str">
        <f>"210,0"</f>
        <v>210,0</v>
      </c>
      <c r="L17" s="21" t="str">
        <f>"124,0050"</f>
        <v>124,0050</v>
      </c>
      <c r="M17" s="19" t="s">
        <v>20</v>
      </c>
    </row>
    <row r="18" spans="1:13" ht="12.75">
      <c r="A18" s="25" t="s">
        <v>360</v>
      </c>
      <c r="B18" s="25" t="s">
        <v>135</v>
      </c>
      <c r="C18" s="25" t="s">
        <v>136</v>
      </c>
      <c r="D18" s="25" t="str">
        <f>"0,6069"</f>
        <v>0,6069</v>
      </c>
      <c r="E18" s="25" t="s">
        <v>35</v>
      </c>
      <c r="F18" s="25" t="s">
        <v>36</v>
      </c>
      <c r="G18" s="26" t="s">
        <v>126</v>
      </c>
      <c r="H18" s="26" t="s">
        <v>361</v>
      </c>
      <c r="I18" s="26" t="s">
        <v>361</v>
      </c>
      <c r="J18" s="26"/>
      <c r="K18" s="25" t="str">
        <f>"0.00"</f>
        <v>0.00</v>
      </c>
      <c r="L18" s="27" t="str">
        <f>"0,0000"</f>
        <v>0,0000</v>
      </c>
      <c r="M18" s="25" t="s">
        <v>20</v>
      </c>
    </row>
    <row r="19" spans="1:13" ht="12.75">
      <c r="A19" s="22" t="s">
        <v>363</v>
      </c>
      <c r="B19" s="22" t="s">
        <v>364</v>
      </c>
      <c r="C19" s="22" t="s">
        <v>365</v>
      </c>
      <c r="D19" s="22" t="str">
        <f>"0,5901"</f>
        <v>0,5901</v>
      </c>
      <c r="E19" s="22" t="s">
        <v>100</v>
      </c>
      <c r="F19" s="22" t="s">
        <v>36</v>
      </c>
      <c r="G19" s="24" t="s">
        <v>215</v>
      </c>
      <c r="H19" s="24" t="s">
        <v>126</v>
      </c>
      <c r="I19" s="23" t="s">
        <v>361</v>
      </c>
      <c r="J19" s="23"/>
      <c r="K19" s="22" t="str">
        <f>"215,0"</f>
        <v>215,0</v>
      </c>
      <c r="L19" s="24" t="str">
        <f>"141,7155"</f>
        <v>141,7155</v>
      </c>
      <c r="M19" s="22" t="s">
        <v>20</v>
      </c>
    </row>
    <row r="21" spans="1:12" ht="15">
      <c r="A21" s="54" t="s">
        <v>39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12.75">
      <c r="A22" s="19" t="s">
        <v>367</v>
      </c>
      <c r="B22" s="19" t="s">
        <v>368</v>
      </c>
      <c r="C22" s="19" t="s">
        <v>369</v>
      </c>
      <c r="D22" s="19" t="str">
        <f>"0,5399"</f>
        <v>0,5399</v>
      </c>
      <c r="E22" s="19" t="s">
        <v>35</v>
      </c>
      <c r="F22" s="19" t="s">
        <v>370</v>
      </c>
      <c r="G22" s="21" t="s">
        <v>371</v>
      </c>
      <c r="H22" s="21" t="s">
        <v>372</v>
      </c>
      <c r="I22" s="20" t="s">
        <v>373</v>
      </c>
      <c r="J22" s="20"/>
      <c r="K22" s="19" t="str">
        <f>"285,0"</f>
        <v>285,0</v>
      </c>
      <c r="L22" s="21" t="str">
        <f>"153,8715"</f>
        <v>153,8715</v>
      </c>
      <c r="M22" s="19" t="s">
        <v>20</v>
      </c>
    </row>
    <row r="23" spans="1:13" ht="12.75">
      <c r="A23" s="25" t="s">
        <v>375</v>
      </c>
      <c r="B23" s="25" t="s">
        <v>376</v>
      </c>
      <c r="C23" s="25" t="s">
        <v>377</v>
      </c>
      <c r="D23" s="25" t="str">
        <f>"0,5380"</f>
        <v>0,5380</v>
      </c>
      <c r="E23" s="25" t="s">
        <v>332</v>
      </c>
      <c r="F23" s="25" t="s">
        <v>344</v>
      </c>
      <c r="G23" s="27" t="s">
        <v>359</v>
      </c>
      <c r="H23" s="27" t="s">
        <v>272</v>
      </c>
      <c r="I23" s="27" t="s">
        <v>378</v>
      </c>
      <c r="J23" s="26"/>
      <c r="K23" s="25" t="str">
        <f>"242,5"</f>
        <v>242,5</v>
      </c>
      <c r="L23" s="27" t="str">
        <f>"132,8134"</f>
        <v>132,8134</v>
      </c>
      <c r="M23" s="25" t="s">
        <v>20</v>
      </c>
    </row>
    <row r="24" spans="1:13" ht="12.75">
      <c r="A24" s="22" t="s">
        <v>379</v>
      </c>
      <c r="B24" s="22" t="s">
        <v>380</v>
      </c>
      <c r="C24" s="22" t="s">
        <v>381</v>
      </c>
      <c r="D24" s="22" t="str">
        <f>"0,5429"</f>
        <v>0,5429</v>
      </c>
      <c r="E24" s="22" t="s">
        <v>243</v>
      </c>
      <c r="F24" s="22" t="s">
        <v>36</v>
      </c>
      <c r="G24" s="23" t="s">
        <v>258</v>
      </c>
      <c r="H24" s="23" t="s">
        <v>258</v>
      </c>
      <c r="I24" s="23"/>
      <c r="J24" s="23"/>
      <c r="K24" s="22" t="str">
        <f>"0.00"</f>
        <v>0.00</v>
      </c>
      <c r="L24" s="24" t="str">
        <f>"0,0000"</f>
        <v>0,0000</v>
      </c>
      <c r="M24" s="22" t="s">
        <v>20</v>
      </c>
    </row>
    <row r="26" spans="5:6" ht="15">
      <c r="E26" s="11" t="s">
        <v>46</v>
      </c>
      <c r="F26" s="11" t="s">
        <v>598</v>
      </c>
    </row>
    <row r="27" spans="5:6" ht="15">
      <c r="E27" s="11" t="s">
        <v>47</v>
      </c>
      <c r="F27" s="11" t="s">
        <v>599</v>
      </c>
    </row>
    <row r="28" spans="5:6" ht="15">
      <c r="E28" s="11" t="s">
        <v>48</v>
      </c>
      <c r="F28" s="11" t="s">
        <v>600</v>
      </c>
    </row>
    <row r="29" spans="5:6" ht="15">
      <c r="E29" s="11" t="s">
        <v>49</v>
      </c>
      <c r="F29" s="11" t="s">
        <v>609</v>
      </c>
    </row>
    <row r="30" spans="5:6" ht="15">
      <c r="E30" s="11" t="s">
        <v>49</v>
      </c>
      <c r="F30" s="11" t="s">
        <v>608</v>
      </c>
    </row>
    <row r="31" ht="15">
      <c r="E31" s="11"/>
    </row>
    <row r="32" ht="15">
      <c r="E32" s="11"/>
    </row>
    <row r="34" spans="1:2" ht="18">
      <c r="A34" s="12" t="s">
        <v>50</v>
      </c>
      <c r="B34" s="12"/>
    </row>
    <row r="35" spans="1:2" ht="15">
      <c r="A35" s="13" t="s">
        <v>176</v>
      </c>
      <c r="B35" s="13"/>
    </row>
    <row r="36" spans="1:2" ht="14.25">
      <c r="A36" s="15"/>
      <c r="B36" s="16" t="s">
        <v>177</v>
      </c>
    </row>
    <row r="37" spans="1:5" ht="15">
      <c r="A37" s="17" t="s">
        <v>53</v>
      </c>
      <c r="B37" s="17" t="s">
        <v>54</v>
      </c>
      <c r="C37" s="17" t="s">
        <v>55</v>
      </c>
      <c r="D37" s="17" t="s">
        <v>56</v>
      </c>
      <c r="E37" s="17" t="s">
        <v>57</v>
      </c>
    </row>
    <row r="38" spans="1:5" ht="12.75">
      <c r="A38" s="14" t="s">
        <v>328</v>
      </c>
      <c r="B38" s="4" t="s">
        <v>177</v>
      </c>
      <c r="C38" s="4" t="s">
        <v>382</v>
      </c>
      <c r="D38" s="4" t="s">
        <v>334</v>
      </c>
      <c r="E38" s="18" t="s">
        <v>383</v>
      </c>
    </row>
    <row r="41" spans="1:2" ht="15">
      <c r="A41" s="13" t="s">
        <v>51</v>
      </c>
      <c r="B41" s="13"/>
    </row>
    <row r="42" spans="1:2" ht="14.25">
      <c r="A42" s="15"/>
      <c r="B42" s="16" t="s">
        <v>52</v>
      </c>
    </row>
    <row r="43" spans="1:5" ht="15">
      <c r="A43" s="17" t="s">
        <v>53</v>
      </c>
      <c r="B43" s="17" t="s">
        <v>54</v>
      </c>
      <c r="C43" s="17" t="s">
        <v>55</v>
      </c>
      <c r="D43" s="17" t="s">
        <v>56</v>
      </c>
      <c r="E43" s="17" t="s">
        <v>57</v>
      </c>
    </row>
    <row r="44" spans="1:5" ht="12.75">
      <c r="A44" s="14" t="s">
        <v>340</v>
      </c>
      <c r="B44" s="4" t="s">
        <v>384</v>
      </c>
      <c r="C44" s="4" t="s">
        <v>63</v>
      </c>
      <c r="D44" s="4" t="s">
        <v>192</v>
      </c>
      <c r="E44" s="18" t="s">
        <v>385</v>
      </c>
    </row>
    <row r="46" spans="1:2" ht="14.25">
      <c r="A46" s="15"/>
      <c r="B46" s="16" t="s">
        <v>177</v>
      </c>
    </row>
    <row r="47" spans="1:5" ht="15">
      <c r="A47" s="17" t="s">
        <v>53</v>
      </c>
      <c r="B47" s="17" t="s">
        <v>54</v>
      </c>
      <c r="C47" s="17" t="s">
        <v>55</v>
      </c>
      <c r="D47" s="17" t="s">
        <v>56</v>
      </c>
      <c r="E47" s="17" t="s">
        <v>57</v>
      </c>
    </row>
    <row r="48" spans="1:5" ht="12.75">
      <c r="A48" s="14" t="s">
        <v>366</v>
      </c>
      <c r="B48" s="4" t="s">
        <v>177</v>
      </c>
      <c r="C48" s="4" t="s">
        <v>67</v>
      </c>
      <c r="D48" s="4" t="s">
        <v>277</v>
      </c>
      <c r="E48" s="18" t="s">
        <v>386</v>
      </c>
    </row>
    <row r="49" spans="1:5" ht="12.75">
      <c r="A49" s="14" t="s">
        <v>354</v>
      </c>
      <c r="B49" s="4" t="s">
        <v>177</v>
      </c>
      <c r="C49" s="4" t="s">
        <v>59</v>
      </c>
      <c r="D49" s="4" t="s">
        <v>182</v>
      </c>
      <c r="E49" s="18" t="s">
        <v>387</v>
      </c>
    </row>
    <row r="50" spans="1:5" ht="12.75">
      <c r="A50" s="14" t="s">
        <v>346</v>
      </c>
      <c r="B50" s="4" t="s">
        <v>177</v>
      </c>
      <c r="C50" s="4" t="s">
        <v>63</v>
      </c>
      <c r="D50" s="4" t="s">
        <v>350</v>
      </c>
      <c r="E50" s="18" t="s">
        <v>388</v>
      </c>
    </row>
    <row r="52" spans="1:2" ht="14.25">
      <c r="A52" s="15"/>
      <c r="B52" s="16" t="s">
        <v>65</v>
      </c>
    </row>
    <row r="53" spans="1:5" ht="15">
      <c r="A53" s="17" t="s">
        <v>53</v>
      </c>
      <c r="B53" s="17" t="s">
        <v>54</v>
      </c>
      <c r="C53" s="17" t="s">
        <v>55</v>
      </c>
      <c r="D53" s="17" t="s">
        <v>56</v>
      </c>
      <c r="E53" s="17" t="s">
        <v>57</v>
      </c>
    </row>
    <row r="54" spans="1:5" ht="12.75">
      <c r="A54" s="14" t="s">
        <v>362</v>
      </c>
      <c r="B54" s="4" t="s">
        <v>194</v>
      </c>
      <c r="C54" s="4" t="s">
        <v>59</v>
      </c>
      <c r="D54" s="4" t="s">
        <v>126</v>
      </c>
      <c r="E54" s="18" t="s">
        <v>389</v>
      </c>
    </row>
    <row r="55" spans="1:5" ht="12.75">
      <c r="A55" s="14" t="s">
        <v>374</v>
      </c>
      <c r="B55" s="4" t="s">
        <v>69</v>
      </c>
      <c r="C55" s="4" t="s">
        <v>67</v>
      </c>
      <c r="D55" s="4" t="s">
        <v>378</v>
      </c>
      <c r="E55" s="18" t="s">
        <v>390</v>
      </c>
    </row>
    <row r="60" spans="1:2" ht="18">
      <c r="A60" s="12" t="s">
        <v>73</v>
      </c>
      <c r="B60" s="12"/>
    </row>
    <row r="61" spans="1:3" ht="15">
      <c r="A61" s="17" t="s">
        <v>74</v>
      </c>
      <c r="B61" s="17" t="s">
        <v>75</v>
      </c>
      <c r="C61" s="17" t="s">
        <v>76</v>
      </c>
    </row>
    <row r="62" spans="1:3" ht="12.75">
      <c r="A62" s="4" t="s">
        <v>332</v>
      </c>
      <c r="B62" s="4" t="s">
        <v>391</v>
      </c>
      <c r="C62" s="4" t="s">
        <v>392</v>
      </c>
    </row>
    <row r="63" spans="1:3" ht="12.75">
      <c r="A63" s="4" t="s">
        <v>35</v>
      </c>
      <c r="B63" s="4" t="s">
        <v>77</v>
      </c>
      <c r="C63" s="4" t="s">
        <v>393</v>
      </c>
    </row>
    <row r="64" spans="1:3" ht="12.75">
      <c r="A64" s="4" t="s">
        <v>100</v>
      </c>
      <c r="B64" s="4" t="s">
        <v>79</v>
      </c>
      <c r="C64" s="4" t="s">
        <v>394</v>
      </c>
    </row>
    <row r="65" spans="1:3" ht="12.75">
      <c r="A65" s="4" t="s">
        <v>26</v>
      </c>
      <c r="B65" s="4" t="s">
        <v>79</v>
      </c>
      <c r="C65" s="4" t="s">
        <v>395</v>
      </c>
    </row>
  </sheetData>
  <sheetProtection/>
  <mergeCells count="16">
    <mergeCell ref="A16:L16"/>
    <mergeCell ref="A21:L21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9" sqref="A9:L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3.25390625" style="4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96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9" t="s">
        <v>296</v>
      </c>
      <c r="B6" s="19" t="s">
        <v>297</v>
      </c>
      <c r="C6" s="19" t="s">
        <v>298</v>
      </c>
      <c r="D6" s="19" t="str">
        <f>"0,7872"</f>
        <v>0,7872</v>
      </c>
      <c r="E6" s="19" t="s">
        <v>243</v>
      </c>
      <c r="F6" s="19" t="s">
        <v>36</v>
      </c>
      <c r="G6" s="20" t="s">
        <v>299</v>
      </c>
      <c r="H6" s="21" t="s">
        <v>299</v>
      </c>
      <c r="I6" s="21" t="s">
        <v>226</v>
      </c>
      <c r="J6" s="20"/>
      <c r="K6" s="19" t="str">
        <f>"170,0"</f>
        <v>170,0</v>
      </c>
      <c r="L6" s="21" t="str">
        <f>"133,8240"</f>
        <v>133,8240</v>
      </c>
      <c r="M6" s="19" t="s">
        <v>20</v>
      </c>
    </row>
    <row r="7" spans="1:13" ht="12.75">
      <c r="A7" s="22" t="s">
        <v>296</v>
      </c>
      <c r="B7" s="22" t="s">
        <v>300</v>
      </c>
      <c r="C7" s="22" t="s">
        <v>298</v>
      </c>
      <c r="D7" s="22" t="str">
        <f>"0,7872"</f>
        <v>0,7872</v>
      </c>
      <c r="E7" s="22" t="s">
        <v>243</v>
      </c>
      <c r="F7" s="22" t="s">
        <v>36</v>
      </c>
      <c r="G7" s="23" t="s">
        <v>299</v>
      </c>
      <c r="H7" s="24" t="s">
        <v>299</v>
      </c>
      <c r="I7" s="24" t="s">
        <v>226</v>
      </c>
      <c r="J7" s="23"/>
      <c r="K7" s="22" t="str">
        <f>"170,0"</f>
        <v>170,0</v>
      </c>
      <c r="L7" s="24" t="str">
        <f>"171,4285"</f>
        <v>171,4285</v>
      </c>
      <c r="M7" s="22" t="s">
        <v>20</v>
      </c>
    </row>
    <row r="9" spans="1:12" ht="15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8" t="s">
        <v>302</v>
      </c>
      <c r="B10" s="8" t="s">
        <v>303</v>
      </c>
      <c r="C10" s="8" t="s">
        <v>304</v>
      </c>
      <c r="D10" s="8" t="str">
        <f>"0,6318"</f>
        <v>0,6318</v>
      </c>
      <c r="E10" s="8" t="s">
        <v>243</v>
      </c>
      <c r="F10" s="8" t="s">
        <v>116</v>
      </c>
      <c r="G10" s="10" t="s">
        <v>182</v>
      </c>
      <c r="H10" s="9" t="s">
        <v>305</v>
      </c>
      <c r="I10" s="9" t="s">
        <v>257</v>
      </c>
      <c r="J10" s="9"/>
      <c r="K10" s="8" t="str">
        <f>"210,0"</f>
        <v>210,0</v>
      </c>
      <c r="L10" s="10" t="str">
        <f>"132,6780"</f>
        <v>132,6780</v>
      </c>
      <c r="M10" s="8" t="s">
        <v>20</v>
      </c>
    </row>
    <row r="12" spans="1:12" ht="15">
      <c r="A12" s="54" t="s">
        <v>39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8" t="s">
        <v>307</v>
      </c>
      <c r="B13" s="8" t="s">
        <v>308</v>
      </c>
      <c r="C13" s="8" t="s">
        <v>309</v>
      </c>
      <c r="D13" s="8" t="str">
        <f>"0,5402"</f>
        <v>0,5402</v>
      </c>
      <c r="E13" s="8" t="s">
        <v>243</v>
      </c>
      <c r="F13" s="8" t="s">
        <v>310</v>
      </c>
      <c r="G13" s="10" t="s">
        <v>278</v>
      </c>
      <c r="H13" s="10" t="s">
        <v>311</v>
      </c>
      <c r="I13" s="9" t="s">
        <v>279</v>
      </c>
      <c r="J13" s="9"/>
      <c r="K13" s="8" t="str">
        <f>"320,0"</f>
        <v>320,0</v>
      </c>
      <c r="L13" s="10" t="str">
        <f>"175,9756"</f>
        <v>175,9756</v>
      </c>
      <c r="M13" s="8" t="s">
        <v>20</v>
      </c>
    </row>
    <row r="15" spans="1:12" ht="15">
      <c r="A15" s="54" t="s">
        <v>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8" t="s">
        <v>313</v>
      </c>
      <c r="B16" s="8" t="s">
        <v>314</v>
      </c>
      <c r="C16" s="8" t="s">
        <v>315</v>
      </c>
      <c r="D16" s="8" t="str">
        <f>"0,5255"</f>
        <v>0,5255</v>
      </c>
      <c r="E16" s="8" t="s">
        <v>243</v>
      </c>
      <c r="F16" s="8" t="s">
        <v>316</v>
      </c>
      <c r="G16" s="10" t="s">
        <v>317</v>
      </c>
      <c r="H16" s="10" t="s">
        <v>318</v>
      </c>
      <c r="I16" s="9"/>
      <c r="J16" s="9"/>
      <c r="K16" s="8" t="str">
        <f>"380,0"</f>
        <v>380,0</v>
      </c>
      <c r="L16" s="10" t="str">
        <f>"199,6900"</f>
        <v>199,6900</v>
      </c>
      <c r="M16" s="8" t="s">
        <v>20</v>
      </c>
    </row>
    <row r="18" spans="5:6" ht="15">
      <c r="E18" s="11" t="s">
        <v>46</v>
      </c>
      <c r="F18" s="11" t="s">
        <v>598</v>
      </c>
    </row>
    <row r="19" spans="5:6" ht="15">
      <c r="E19" s="11" t="s">
        <v>47</v>
      </c>
      <c r="F19" s="11" t="s">
        <v>599</v>
      </c>
    </row>
    <row r="20" spans="5:6" ht="15">
      <c r="E20" s="11" t="s">
        <v>48</v>
      </c>
      <c r="F20" s="11" t="s">
        <v>600</v>
      </c>
    </row>
    <row r="21" spans="5:6" ht="15">
      <c r="E21" s="11" t="s">
        <v>49</v>
      </c>
      <c r="F21" s="11" t="s">
        <v>609</v>
      </c>
    </row>
    <row r="22" spans="5:6" ht="15">
      <c r="E22" s="11" t="s">
        <v>49</v>
      </c>
      <c r="F22" s="11" t="s">
        <v>608</v>
      </c>
    </row>
    <row r="23" ht="15">
      <c r="E23" s="11"/>
    </row>
    <row r="24" ht="15">
      <c r="E24" s="11"/>
    </row>
    <row r="26" spans="1:2" ht="18">
      <c r="A26" s="12" t="s">
        <v>50</v>
      </c>
      <c r="B26" s="12"/>
    </row>
    <row r="27" spans="1:2" ht="15">
      <c r="A27" s="13" t="s">
        <v>176</v>
      </c>
      <c r="B27" s="13"/>
    </row>
    <row r="28" spans="1:2" ht="14.25">
      <c r="A28" s="15"/>
      <c r="B28" s="16" t="s">
        <v>177</v>
      </c>
    </row>
    <row r="29" spans="1:5" ht="15">
      <c r="A29" s="17" t="s">
        <v>53</v>
      </c>
      <c r="B29" s="17" t="s">
        <v>54</v>
      </c>
      <c r="C29" s="17" t="s">
        <v>55</v>
      </c>
      <c r="D29" s="17" t="s">
        <v>56</v>
      </c>
      <c r="E29" s="17" t="s">
        <v>57</v>
      </c>
    </row>
    <row r="30" spans="1:5" ht="12.75">
      <c r="A30" s="14" t="s">
        <v>295</v>
      </c>
      <c r="B30" s="4" t="s">
        <v>177</v>
      </c>
      <c r="C30" s="4" t="s">
        <v>178</v>
      </c>
      <c r="D30" s="4" t="s">
        <v>226</v>
      </c>
      <c r="E30" s="18" t="s">
        <v>319</v>
      </c>
    </row>
    <row r="32" spans="1:2" ht="14.25">
      <c r="A32" s="15"/>
      <c r="B32" s="16" t="s">
        <v>65</v>
      </c>
    </row>
    <row r="33" spans="1:5" ht="15">
      <c r="A33" s="17" t="s">
        <v>53</v>
      </c>
      <c r="B33" s="17" t="s">
        <v>54</v>
      </c>
      <c r="C33" s="17" t="s">
        <v>55</v>
      </c>
      <c r="D33" s="17" t="s">
        <v>56</v>
      </c>
      <c r="E33" s="17" t="s">
        <v>57</v>
      </c>
    </row>
    <row r="34" spans="1:5" ht="12.75">
      <c r="A34" s="14" t="s">
        <v>295</v>
      </c>
      <c r="B34" s="4" t="s">
        <v>66</v>
      </c>
      <c r="C34" s="4" t="s">
        <v>178</v>
      </c>
      <c r="D34" s="4" t="s">
        <v>226</v>
      </c>
      <c r="E34" s="18" t="s">
        <v>320</v>
      </c>
    </row>
    <row r="37" spans="1:2" ht="15">
      <c r="A37" s="13" t="s">
        <v>51</v>
      </c>
      <c r="B37" s="13"/>
    </row>
    <row r="38" spans="1:2" ht="14.25">
      <c r="A38" s="15"/>
      <c r="B38" s="16" t="s">
        <v>177</v>
      </c>
    </row>
    <row r="39" spans="1:5" ht="15">
      <c r="A39" s="17" t="s">
        <v>53</v>
      </c>
      <c r="B39" s="17" t="s">
        <v>54</v>
      </c>
      <c r="C39" s="17" t="s">
        <v>55</v>
      </c>
      <c r="D39" s="17" t="s">
        <v>56</v>
      </c>
      <c r="E39" s="17" t="s">
        <v>57</v>
      </c>
    </row>
    <row r="40" spans="1:5" ht="12.75">
      <c r="A40" s="14" t="s">
        <v>312</v>
      </c>
      <c r="B40" s="4" t="s">
        <v>177</v>
      </c>
      <c r="C40" s="4" t="s">
        <v>92</v>
      </c>
      <c r="D40" s="4" t="s">
        <v>318</v>
      </c>
      <c r="E40" s="18" t="s">
        <v>321</v>
      </c>
    </row>
    <row r="41" spans="1:5" ht="12.75">
      <c r="A41" s="14" t="s">
        <v>301</v>
      </c>
      <c r="B41" s="4" t="s">
        <v>177</v>
      </c>
      <c r="C41" s="4" t="s">
        <v>63</v>
      </c>
      <c r="D41" s="4" t="s">
        <v>182</v>
      </c>
      <c r="E41" s="18" t="s">
        <v>322</v>
      </c>
    </row>
    <row r="43" spans="1:2" ht="14.25">
      <c r="A43" s="15"/>
      <c r="B43" s="16" t="s">
        <v>65</v>
      </c>
    </row>
    <row r="44" spans="1:5" ht="15">
      <c r="A44" s="17" t="s">
        <v>53</v>
      </c>
      <c r="B44" s="17" t="s">
        <v>54</v>
      </c>
      <c r="C44" s="17" t="s">
        <v>55</v>
      </c>
      <c r="D44" s="17" t="s">
        <v>56</v>
      </c>
      <c r="E44" s="17" t="s">
        <v>57</v>
      </c>
    </row>
    <row r="45" spans="1:5" ht="12.75">
      <c r="A45" s="14" t="s">
        <v>306</v>
      </c>
      <c r="B45" s="4" t="s">
        <v>69</v>
      </c>
      <c r="C45" s="4" t="s">
        <v>67</v>
      </c>
      <c r="D45" s="4" t="s">
        <v>311</v>
      </c>
      <c r="E45" s="18" t="s">
        <v>323</v>
      </c>
    </row>
    <row r="50" spans="1:2" ht="18">
      <c r="A50" s="12" t="s">
        <v>73</v>
      </c>
      <c r="B50" s="12"/>
    </row>
    <row r="51" spans="1:3" ht="15">
      <c r="A51" s="17" t="s">
        <v>74</v>
      </c>
      <c r="B51" s="17" t="s">
        <v>75</v>
      </c>
      <c r="C51" s="17" t="s">
        <v>76</v>
      </c>
    </row>
    <row r="52" spans="1:3" ht="12.75">
      <c r="A52" s="4" t="s">
        <v>243</v>
      </c>
      <c r="B52" s="4" t="s">
        <v>324</v>
      </c>
      <c r="C52" s="4" t="s">
        <v>325</v>
      </c>
    </row>
  </sheetData>
  <sheetProtection/>
  <mergeCells count="15">
    <mergeCell ref="A15:L15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0.625" style="4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105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231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233</v>
      </c>
      <c r="B6" s="8" t="s">
        <v>234</v>
      </c>
      <c r="C6" s="8" t="s">
        <v>235</v>
      </c>
      <c r="D6" s="8" t="str">
        <f>"0,9173"</f>
        <v>0,9173</v>
      </c>
      <c r="E6" s="8" t="s">
        <v>155</v>
      </c>
      <c r="F6" s="8" t="s">
        <v>236</v>
      </c>
      <c r="G6" s="10" t="s">
        <v>237</v>
      </c>
      <c r="H6" s="10" t="s">
        <v>238</v>
      </c>
      <c r="I6" s="9" t="s">
        <v>101</v>
      </c>
      <c r="J6" s="9"/>
      <c r="K6" s="8" t="str">
        <f>"82,5"</f>
        <v>82,5</v>
      </c>
      <c r="L6" s="10" t="str">
        <f>"77,0436"</f>
        <v>77,0436</v>
      </c>
      <c r="M6" s="8" t="s">
        <v>20</v>
      </c>
    </row>
    <row r="8" spans="1:12" ht="15">
      <c r="A8" s="54" t="s">
        <v>95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8" t="s">
        <v>240</v>
      </c>
      <c r="B9" s="8" t="s">
        <v>241</v>
      </c>
      <c r="C9" s="8" t="s">
        <v>242</v>
      </c>
      <c r="D9" s="8" t="str">
        <f>"0,7822"</f>
        <v>0,7822</v>
      </c>
      <c r="E9" s="8" t="s">
        <v>243</v>
      </c>
      <c r="F9" s="8" t="s">
        <v>36</v>
      </c>
      <c r="G9" s="10" t="s">
        <v>244</v>
      </c>
      <c r="H9" s="9" t="s">
        <v>28</v>
      </c>
      <c r="I9" s="9" t="s">
        <v>28</v>
      </c>
      <c r="J9" s="9"/>
      <c r="K9" s="8" t="str">
        <f>"105,0"</f>
        <v>105,0</v>
      </c>
      <c r="L9" s="10" t="str">
        <f>"83,6094"</f>
        <v>83,6094</v>
      </c>
      <c r="M9" s="8" t="s">
        <v>20</v>
      </c>
    </row>
    <row r="11" spans="1:12" ht="15">
      <c r="A11" s="54" t="s">
        <v>245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8" t="s">
        <v>247</v>
      </c>
      <c r="B12" s="8" t="s">
        <v>248</v>
      </c>
      <c r="C12" s="8" t="s">
        <v>249</v>
      </c>
      <c r="D12" s="8" t="str">
        <f>"0,6659"</f>
        <v>0,6659</v>
      </c>
      <c r="E12" s="8" t="s">
        <v>243</v>
      </c>
      <c r="F12" s="8" t="s">
        <v>36</v>
      </c>
      <c r="G12" s="10" t="s">
        <v>250</v>
      </c>
      <c r="H12" s="10" t="s">
        <v>251</v>
      </c>
      <c r="I12" s="10" t="s">
        <v>252</v>
      </c>
      <c r="J12" s="9"/>
      <c r="K12" s="8" t="str">
        <f>"282,5"</f>
        <v>282,5</v>
      </c>
      <c r="L12" s="10" t="str">
        <f>"188,1167"</f>
        <v>188,1167</v>
      </c>
      <c r="M12" s="8" t="s">
        <v>20</v>
      </c>
    </row>
    <row r="14" spans="1:12" ht="15">
      <c r="A14" s="54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12.75">
      <c r="A15" s="19" t="s">
        <v>254</v>
      </c>
      <c r="B15" s="19" t="s">
        <v>255</v>
      </c>
      <c r="C15" s="19" t="s">
        <v>256</v>
      </c>
      <c r="D15" s="19" t="str">
        <f>"0,5578"</f>
        <v>0,5578</v>
      </c>
      <c r="E15" s="19" t="s">
        <v>243</v>
      </c>
      <c r="F15" s="19" t="s">
        <v>116</v>
      </c>
      <c r="G15" s="21" t="s">
        <v>257</v>
      </c>
      <c r="H15" s="21" t="s">
        <v>258</v>
      </c>
      <c r="I15" s="20" t="s">
        <v>251</v>
      </c>
      <c r="J15" s="20"/>
      <c r="K15" s="19" t="str">
        <f>"255,0"</f>
        <v>255,0</v>
      </c>
      <c r="L15" s="21" t="str">
        <f>"142,2390"</f>
        <v>142,2390</v>
      </c>
      <c r="M15" s="19" t="s">
        <v>20</v>
      </c>
    </row>
    <row r="16" spans="1:13" ht="12.75">
      <c r="A16" s="25" t="s">
        <v>260</v>
      </c>
      <c r="B16" s="25" t="s">
        <v>261</v>
      </c>
      <c r="C16" s="25" t="s">
        <v>262</v>
      </c>
      <c r="D16" s="25" t="str">
        <f>"0,5543"</f>
        <v>0,5543</v>
      </c>
      <c r="E16" s="25" t="s">
        <v>35</v>
      </c>
      <c r="F16" s="25" t="s">
        <v>263</v>
      </c>
      <c r="G16" s="27" t="s">
        <v>264</v>
      </c>
      <c r="H16" s="27" t="s">
        <v>265</v>
      </c>
      <c r="I16" s="26" t="s">
        <v>266</v>
      </c>
      <c r="J16" s="26"/>
      <c r="K16" s="25" t="str">
        <f>"250,0"</f>
        <v>250,0</v>
      </c>
      <c r="L16" s="27" t="str">
        <f>"138,5750"</f>
        <v>138,5750</v>
      </c>
      <c r="M16" s="25" t="s">
        <v>20</v>
      </c>
    </row>
    <row r="17" spans="1:13" ht="12.75">
      <c r="A17" s="22" t="s">
        <v>268</v>
      </c>
      <c r="B17" s="22" t="s">
        <v>269</v>
      </c>
      <c r="C17" s="22" t="s">
        <v>270</v>
      </c>
      <c r="D17" s="22" t="str">
        <f>"0,5619"</f>
        <v>0,5619</v>
      </c>
      <c r="E17" s="22" t="s">
        <v>35</v>
      </c>
      <c r="F17" s="22" t="s">
        <v>36</v>
      </c>
      <c r="G17" s="24" t="s">
        <v>271</v>
      </c>
      <c r="H17" s="24" t="s">
        <v>272</v>
      </c>
      <c r="I17" s="23" t="s">
        <v>257</v>
      </c>
      <c r="J17" s="23"/>
      <c r="K17" s="22" t="str">
        <f>"232,5"</f>
        <v>232,5</v>
      </c>
      <c r="L17" s="24" t="str">
        <f>"130,6418"</f>
        <v>130,6418</v>
      </c>
      <c r="M17" s="22" t="s">
        <v>20</v>
      </c>
    </row>
    <row r="19" spans="1:12" ht="15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3" ht="12.75">
      <c r="A20" s="8" t="s">
        <v>274</v>
      </c>
      <c r="B20" s="8" t="s">
        <v>275</v>
      </c>
      <c r="C20" s="8" t="s">
        <v>276</v>
      </c>
      <c r="D20" s="8" t="str">
        <f>"0,5465"</f>
        <v>0,5465</v>
      </c>
      <c r="E20" s="8" t="s">
        <v>243</v>
      </c>
      <c r="F20" s="8" t="s">
        <v>116</v>
      </c>
      <c r="G20" s="10" t="s">
        <v>277</v>
      </c>
      <c r="H20" s="10" t="s">
        <v>278</v>
      </c>
      <c r="I20" s="9" t="s">
        <v>279</v>
      </c>
      <c r="J20" s="9"/>
      <c r="K20" s="8" t="str">
        <f>"300,0"</f>
        <v>300,0</v>
      </c>
      <c r="L20" s="10" t="str">
        <f>"163,9500"</f>
        <v>163,9500</v>
      </c>
      <c r="M20" s="8" t="s">
        <v>20</v>
      </c>
    </row>
    <row r="22" spans="5:6" ht="15">
      <c r="E22" s="11" t="s">
        <v>46</v>
      </c>
      <c r="F22" s="11" t="s">
        <v>598</v>
      </c>
    </row>
    <row r="23" spans="5:6" ht="15">
      <c r="E23" s="11" t="s">
        <v>47</v>
      </c>
      <c r="F23" s="11" t="s">
        <v>599</v>
      </c>
    </row>
    <row r="24" spans="5:6" ht="15">
      <c r="E24" s="11" t="s">
        <v>48</v>
      </c>
      <c r="F24" s="11" t="s">
        <v>600</v>
      </c>
    </row>
    <row r="25" spans="5:6" ht="15">
      <c r="E25" s="11" t="s">
        <v>49</v>
      </c>
      <c r="F25" s="11" t="s">
        <v>609</v>
      </c>
    </row>
    <row r="26" spans="5:6" ht="15">
      <c r="E26" s="11" t="s">
        <v>49</v>
      </c>
      <c r="F26" s="11" t="s">
        <v>608</v>
      </c>
    </row>
    <row r="27" ht="15">
      <c r="E27" s="11"/>
    </row>
    <row r="28" ht="15">
      <c r="E28" s="11"/>
    </row>
    <row r="30" spans="1:2" ht="18">
      <c r="A30" s="12" t="s">
        <v>50</v>
      </c>
      <c r="B30" s="12"/>
    </row>
    <row r="31" spans="1:2" ht="15">
      <c r="A31" s="13" t="s">
        <v>176</v>
      </c>
      <c r="B31" s="13"/>
    </row>
    <row r="32" spans="1:2" ht="14.25">
      <c r="A32" s="15"/>
      <c r="B32" s="16" t="s">
        <v>65</v>
      </c>
    </row>
    <row r="33" spans="1:5" ht="15">
      <c r="A33" s="17" t="s">
        <v>53</v>
      </c>
      <c r="B33" s="17" t="s">
        <v>54</v>
      </c>
      <c r="C33" s="17" t="s">
        <v>55</v>
      </c>
      <c r="D33" s="17" t="s">
        <v>56</v>
      </c>
      <c r="E33" s="17" t="s">
        <v>57</v>
      </c>
    </row>
    <row r="34" spans="1:5" ht="12.75">
      <c r="A34" s="14" t="s">
        <v>239</v>
      </c>
      <c r="B34" s="4" t="s">
        <v>69</v>
      </c>
      <c r="C34" s="4" t="s">
        <v>178</v>
      </c>
      <c r="D34" s="4" t="s">
        <v>244</v>
      </c>
      <c r="E34" s="18" t="s">
        <v>280</v>
      </c>
    </row>
    <row r="35" spans="1:5" ht="12.75">
      <c r="A35" s="14" t="s">
        <v>232</v>
      </c>
      <c r="B35" s="4" t="s">
        <v>69</v>
      </c>
      <c r="C35" s="4" t="s">
        <v>281</v>
      </c>
      <c r="D35" s="4" t="s">
        <v>238</v>
      </c>
      <c r="E35" s="18" t="s">
        <v>282</v>
      </c>
    </row>
    <row r="38" spans="1:2" ht="15">
      <c r="A38" s="13" t="s">
        <v>51</v>
      </c>
      <c r="B38" s="13"/>
    </row>
    <row r="39" spans="1:2" ht="14.25">
      <c r="A39" s="15"/>
      <c r="B39" s="16" t="s">
        <v>177</v>
      </c>
    </row>
    <row r="40" spans="1:5" ht="15">
      <c r="A40" s="17" t="s">
        <v>53</v>
      </c>
      <c r="B40" s="17" t="s">
        <v>54</v>
      </c>
      <c r="C40" s="17" t="s">
        <v>55</v>
      </c>
      <c r="D40" s="17" t="s">
        <v>56</v>
      </c>
      <c r="E40" s="17" t="s">
        <v>57</v>
      </c>
    </row>
    <row r="41" spans="1:5" ht="12.75">
      <c r="A41" s="14" t="s">
        <v>246</v>
      </c>
      <c r="B41" s="4" t="s">
        <v>177</v>
      </c>
      <c r="C41" s="4" t="s">
        <v>283</v>
      </c>
      <c r="D41" s="4" t="s">
        <v>252</v>
      </c>
      <c r="E41" s="18" t="s">
        <v>284</v>
      </c>
    </row>
    <row r="42" spans="1:5" ht="12.75">
      <c r="A42" s="14" t="s">
        <v>273</v>
      </c>
      <c r="B42" s="4" t="s">
        <v>177</v>
      </c>
      <c r="C42" s="4" t="s">
        <v>67</v>
      </c>
      <c r="D42" s="4" t="s">
        <v>278</v>
      </c>
      <c r="E42" s="18" t="s">
        <v>285</v>
      </c>
    </row>
    <row r="43" spans="1:5" ht="12.75">
      <c r="A43" s="14" t="s">
        <v>253</v>
      </c>
      <c r="B43" s="4" t="s">
        <v>177</v>
      </c>
      <c r="C43" s="4" t="s">
        <v>70</v>
      </c>
      <c r="D43" s="4" t="s">
        <v>258</v>
      </c>
      <c r="E43" s="18" t="s">
        <v>286</v>
      </c>
    </row>
    <row r="44" spans="1:5" ht="12.75">
      <c r="A44" s="14" t="s">
        <v>259</v>
      </c>
      <c r="B44" s="4" t="s">
        <v>177</v>
      </c>
      <c r="C44" s="4" t="s">
        <v>70</v>
      </c>
      <c r="D44" s="4" t="s">
        <v>287</v>
      </c>
      <c r="E44" s="18" t="s">
        <v>288</v>
      </c>
    </row>
    <row r="45" spans="1:5" ht="12.75">
      <c r="A45" s="14" t="s">
        <v>267</v>
      </c>
      <c r="B45" s="4" t="s">
        <v>177</v>
      </c>
      <c r="C45" s="4" t="s">
        <v>70</v>
      </c>
      <c r="D45" s="4" t="s">
        <v>272</v>
      </c>
      <c r="E45" s="18" t="s">
        <v>289</v>
      </c>
    </row>
    <row r="50" spans="1:2" ht="18">
      <c r="A50" s="12" t="s">
        <v>73</v>
      </c>
      <c r="B50" s="12"/>
    </row>
    <row r="51" spans="1:3" ht="15">
      <c r="A51" s="17" t="s">
        <v>74</v>
      </c>
      <c r="B51" s="17" t="s">
        <v>75</v>
      </c>
      <c r="C51" s="17" t="s">
        <v>76</v>
      </c>
    </row>
    <row r="52" spans="1:3" ht="12.75">
      <c r="A52" s="4" t="s">
        <v>243</v>
      </c>
      <c r="B52" s="4" t="s">
        <v>290</v>
      </c>
      <c r="C52" s="4" t="s">
        <v>291</v>
      </c>
    </row>
    <row r="53" spans="1:3" ht="12.75">
      <c r="A53" s="4" t="s">
        <v>35</v>
      </c>
      <c r="B53" s="4" t="s">
        <v>292</v>
      </c>
      <c r="C53" s="4" t="s">
        <v>293</v>
      </c>
    </row>
    <row r="54" spans="1:3" ht="12.75">
      <c r="A54" s="4" t="s">
        <v>155</v>
      </c>
      <c r="B54" s="4" t="s">
        <v>79</v>
      </c>
      <c r="C54" s="4" t="s">
        <v>294</v>
      </c>
    </row>
  </sheetData>
  <sheetProtection/>
  <mergeCells count="16">
    <mergeCell ref="A14:L14"/>
    <mergeCell ref="A19:L19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24" sqref="C23:C2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8.25390625" style="4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117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201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203</v>
      </c>
      <c r="B6" s="8" t="s">
        <v>204</v>
      </c>
      <c r="C6" s="8" t="s">
        <v>205</v>
      </c>
      <c r="D6" s="8" t="str">
        <f>"0,8707"</f>
        <v>0,8707</v>
      </c>
      <c r="E6" s="8" t="s">
        <v>100</v>
      </c>
      <c r="F6" s="8" t="s">
        <v>36</v>
      </c>
      <c r="G6" s="10" t="s">
        <v>101</v>
      </c>
      <c r="H6" s="10" t="s">
        <v>102</v>
      </c>
      <c r="I6" s="9" t="s">
        <v>206</v>
      </c>
      <c r="J6" s="9"/>
      <c r="K6" s="8" t="str">
        <f>"90,0"</f>
        <v>90,0</v>
      </c>
      <c r="L6" s="10" t="str">
        <f>"78,3630"</f>
        <v>78,3630</v>
      </c>
      <c r="M6" s="8" t="s">
        <v>20</v>
      </c>
    </row>
    <row r="8" spans="1:12" ht="15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9" t="s">
        <v>207</v>
      </c>
      <c r="B9" s="19" t="s">
        <v>143</v>
      </c>
      <c r="C9" s="19" t="s">
        <v>144</v>
      </c>
      <c r="D9" s="19" t="str">
        <f>"0,5881"</f>
        <v>0,5881</v>
      </c>
      <c r="E9" s="19" t="s">
        <v>35</v>
      </c>
      <c r="F9" s="19" t="s">
        <v>36</v>
      </c>
      <c r="G9" s="21" t="s">
        <v>208</v>
      </c>
      <c r="H9" s="21" t="s">
        <v>89</v>
      </c>
      <c r="I9" s="21" t="s">
        <v>90</v>
      </c>
      <c r="J9" s="20"/>
      <c r="K9" s="19" t="str">
        <f>"170,0"</f>
        <v>170,0</v>
      </c>
      <c r="L9" s="21" t="str">
        <f>"99,9770"</f>
        <v>99,9770</v>
      </c>
      <c r="M9" s="19" t="s">
        <v>20</v>
      </c>
    </row>
    <row r="10" spans="1:13" ht="12.75">
      <c r="A10" s="22" t="s">
        <v>146</v>
      </c>
      <c r="B10" s="22" t="s">
        <v>147</v>
      </c>
      <c r="C10" s="22" t="s">
        <v>148</v>
      </c>
      <c r="D10" s="22" t="str">
        <f>"0,5956"</f>
        <v>0,5956</v>
      </c>
      <c r="E10" s="22" t="s">
        <v>149</v>
      </c>
      <c r="F10" s="22" t="s">
        <v>150</v>
      </c>
      <c r="G10" s="24" t="s">
        <v>28</v>
      </c>
      <c r="H10" s="24" t="s">
        <v>29</v>
      </c>
      <c r="I10" s="24" t="s">
        <v>137</v>
      </c>
      <c r="J10" s="23"/>
      <c r="K10" s="22" t="str">
        <f>"130,0"</f>
        <v>130,0</v>
      </c>
      <c r="L10" s="24" t="str">
        <f>"144,4032"</f>
        <v>144,4032</v>
      </c>
      <c r="M10" s="22" t="s">
        <v>20</v>
      </c>
    </row>
    <row r="12" spans="1:12" ht="15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8" t="s">
        <v>210</v>
      </c>
      <c r="B13" s="8" t="s">
        <v>211</v>
      </c>
      <c r="C13" s="8" t="s">
        <v>212</v>
      </c>
      <c r="D13" s="8" t="str">
        <f>"0,5583"</f>
        <v>0,5583</v>
      </c>
      <c r="E13" s="8" t="s">
        <v>100</v>
      </c>
      <c r="F13" s="8" t="s">
        <v>213</v>
      </c>
      <c r="G13" s="10" t="s">
        <v>214</v>
      </c>
      <c r="H13" s="10" t="s">
        <v>215</v>
      </c>
      <c r="I13" s="9" t="s">
        <v>126</v>
      </c>
      <c r="J13" s="9"/>
      <c r="K13" s="8" t="str">
        <f>"205,0"</f>
        <v>205,0</v>
      </c>
      <c r="L13" s="10" t="str">
        <f>"114,4515"</f>
        <v>114,4515</v>
      </c>
      <c r="M13" s="8" t="s">
        <v>20</v>
      </c>
    </row>
    <row r="15" spans="1:12" ht="15">
      <c r="A15" s="54" t="s">
        <v>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8" t="s">
        <v>217</v>
      </c>
      <c r="B16" s="8" t="s">
        <v>218</v>
      </c>
      <c r="C16" s="8" t="s">
        <v>219</v>
      </c>
      <c r="D16" s="8" t="str">
        <f>"0,5309"</f>
        <v>0,5309</v>
      </c>
      <c r="E16" s="8" t="s">
        <v>155</v>
      </c>
      <c r="F16" s="8" t="s">
        <v>156</v>
      </c>
      <c r="G16" s="10" t="s">
        <v>162</v>
      </c>
      <c r="H16" s="10" t="s">
        <v>220</v>
      </c>
      <c r="I16" s="10" t="s">
        <v>221</v>
      </c>
      <c r="J16" s="9"/>
      <c r="K16" s="8" t="str">
        <f>"200,0"</f>
        <v>200,0</v>
      </c>
      <c r="L16" s="10" t="str">
        <f>"106,1800"</f>
        <v>106,1800</v>
      </c>
      <c r="M16" s="8" t="s">
        <v>20</v>
      </c>
    </row>
    <row r="18" spans="5:6" ht="15">
      <c r="E18" s="11" t="s">
        <v>46</v>
      </c>
      <c r="F18" s="11" t="s">
        <v>598</v>
      </c>
    </row>
    <row r="19" spans="5:6" ht="15">
      <c r="E19" s="11" t="s">
        <v>47</v>
      </c>
      <c r="F19" s="11" t="s">
        <v>599</v>
      </c>
    </row>
    <row r="20" spans="5:6" ht="15">
      <c r="E20" s="11" t="s">
        <v>48</v>
      </c>
      <c r="F20" s="11" t="s">
        <v>600</v>
      </c>
    </row>
    <row r="21" spans="5:6" ht="15">
      <c r="E21" s="11" t="s">
        <v>49</v>
      </c>
      <c r="F21" s="11" t="s">
        <v>609</v>
      </c>
    </row>
    <row r="22" spans="5:6" ht="15">
      <c r="E22" s="11" t="s">
        <v>49</v>
      </c>
      <c r="F22" s="11" t="s">
        <v>608</v>
      </c>
    </row>
    <row r="23" ht="15">
      <c r="E23" s="11"/>
    </row>
    <row r="24" ht="15">
      <c r="E24" s="11"/>
    </row>
    <row r="26" spans="1:2" ht="18">
      <c r="A26" s="12" t="s">
        <v>50</v>
      </c>
      <c r="B26" s="12"/>
    </row>
    <row r="27" spans="1:2" ht="15">
      <c r="A27" s="13" t="s">
        <v>176</v>
      </c>
      <c r="B27" s="13"/>
    </row>
    <row r="28" spans="1:2" ht="14.25">
      <c r="A28" s="15"/>
      <c r="B28" s="16" t="s">
        <v>177</v>
      </c>
    </row>
    <row r="29" spans="1:5" ht="15">
      <c r="A29" s="17" t="s">
        <v>53</v>
      </c>
      <c r="B29" s="17" t="s">
        <v>54</v>
      </c>
      <c r="C29" s="17" t="s">
        <v>55</v>
      </c>
      <c r="D29" s="17" t="s">
        <v>56</v>
      </c>
      <c r="E29" s="17" t="s">
        <v>57</v>
      </c>
    </row>
    <row r="30" spans="1:5" ht="12.75">
      <c r="A30" s="14" t="s">
        <v>202</v>
      </c>
      <c r="B30" s="4" t="s">
        <v>177</v>
      </c>
      <c r="C30" s="4" t="s">
        <v>222</v>
      </c>
      <c r="D30" s="4" t="s">
        <v>102</v>
      </c>
      <c r="E30" s="18" t="s">
        <v>223</v>
      </c>
    </row>
    <row r="33" spans="1:2" ht="15">
      <c r="A33" s="13" t="s">
        <v>51</v>
      </c>
      <c r="B33" s="13"/>
    </row>
    <row r="34" spans="1:2" ht="14.25">
      <c r="A34" s="15"/>
      <c r="B34" s="16" t="s">
        <v>177</v>
      </c>
    </row>
    <row r="35" spans="1:5" ht="15">
      <c r="A35" s="17" t="s">
        <v>53</v>
      </c>
      <c r="B35" s="17" t="s">
        <v>54</v>
      </c>
      <c r="C35" s="17" t="s">
        <v>55</v>
      </c>
      <c r="D35" s="17" t="s">
        <v>56</v>
      </c>
      <c r="E35" s="17" t="s">
        <v>57</v>
      </c>
    </row>
    <row r="36" spans="1:5" ht="12.75">
      <c r="A36" s="14" t="s">
        <v>209</v>
      </c>
      <c r="B36" s="4" t="s">
        <v>177</v>
      </c>
      <c r="C36" s="4" t="s">
        <v>70</v>
      </c>
      <c r="D36" s="4" t="s">
        <v>215</v>
      </c>
      <c r="E36" s="18" t="s">
        <v>224</v>
      </c>
    </row>
    <row r="37" spans="1:5" ht="12.75">
      <c r="A37" s="14" t="s">
        <v>216</v>
      </c>
      <c r="B37" s="4" t="s">
        <v>177</v>
      </c>
      <c r="C37" s="4" t="s">
        <v>92</v>
      </c>
      <c r="D37" s="4" t="s">
        <v>221</v>
      </c>
      <c r="E37" s="18" t="s">
        <v>225</v>
      </c>
    </row>
    <row r="38" spans="1:5" ht="12.75">
      <c r="A38" s="14" t="s">
        <v>142</v>
      </c>
      <c r="B38" s="4" t="s">
        <v>177</v>
      </c>
      <c r="C38" s="4" t="s">
        <v>59</v>
      </c>
      <c r="D38" s="4" t="s">
        <v>226</v>
      </c>
      <c r="E38" s="18" t="s">
        <v>227</v>
      </c>
    </row>
    <row r="40" spans="1:2" ht="14.25">
      <c r="A40" s="15"/>
      <c r="B40" s="16" t="s">
        <v>65</v>
      </c>
    </row>
    <row r="41" spans="1:5" ht="15">
      <c r="A41" s="17" t="s">
        <v>53</v>
      </c>
      <c r="B41" s="17" t="s">
        <v>54</v>
      </c>
      <c r="C41" s="17" t="s">
        <v>55</v>
      </c>
      <c r="D41" s="17" t="s">
        <v>56</v>
      </c>
      <c r="E41" s="17" t="s">
        <v>57</v>
      </c>
    </row>
    <row r="42" spans="1:5" ht="12.75">
      <c r="A42" s="14" t="s">
        <v>145</v>
      </c>
      <c r="B42" s="4" t="s">
        <v>189</v>
      </c>
      <c r="C42" s="4" t="s">
        <v>59</v>
      </c>
      <c r="D42" s="4" t="s">
        <v>137</v>
      </c>
      <c r="E42" s="18" t="s">
        <v>190</v>
      </c>
    </row>
    <row r="47" spans="1:2" ht="18">
      <c r="A47" s="12" t="s">
        <v>73</v>
      </c>
      <c r="B47" s="12"/>
    </row>
    <row r="48" spans="1:3" ht="15">
      <c r="A48" s="17" t="s">
        <v>74</v>
      </c>
      <c r="B48" s="17" t="s">
        <v>75</v>
      </c>
      <c r="C48" s="17" t="s">
        <v>76</v>
      </c>
    </row>
    <row r="49" spans="1:3" ht="12.75">
      <c r="A49" s="4" t="s">
        <v>100</v>
      </c>
      <c r="B49" s="4" t="s">
        <v>77</v>
      </c>
      <c r="C49" s="4" t="s">
        <v>228</v>
      </c>
    </row>
    <row r="50" spans="1:3" ht="12.75">
      <c r="A50" s="4" t="s">
        <v>149</v>
      </c>
      <c r="B50" s="4" t="s">
        <v>79</v>
      </c>
      <c r="C50" s="4" t="s">
        <v>199</v>
      </c>
    </row>
    <row r="51" spans="1:3" ht="12.75">
      <c r="A51" s="4" t="s">
        <v>35</v>
      </c>
      <c r="B51" s="4" t="s">
        <v>79</v>
      </c>
      <c r="C51" s="4" t="s">
        <v>229</v>
      </c>
    </row>
    <row r="52" spans="1:3" ht="12.75">
      <c r="A52" s="4" t="s">
        <v>155</v>
      </c>
      <c r="B52" s="4" t="s">
        <v>79</v>
      </c>
      <c r="C52" s="4" t="s">
        <v>230</v>
      </c>
    </row>
  </sheetData>
  <sheetProtection/>
  <mergeCells count="15">
    <mergeCell ref="A15:L15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4.375" style="4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6.625" style="3" bestFit="1" customWidth="1"/>
    <col min="10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93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9" t="s">
        <v>97</v>
      </c>
      <c r="B6" s="19" t="s">
        <v>98</v>
      </c>
      <c r="C6" s="19" t="s">
        <v>99</v>
      </c>
      <c r="D6" s="19" t="str">
        <f>"0,8122"</f>
        <v>0,8122</v>
      </c>
      <c r="E6" s="19" t="s">
        <v>100</v>
      </c>
      <c r="F6" s="19" t="s">
        <v>36</v>
      </c>
      <c r="G6" s="21" t="s">
        <v>101</v>
      </c>
      <c r="H6" s="21" t="s">
        <v>102</v>
      </c>
      <c r="I6" s="21" t="s">
        <v>103</v>
      </c>
      <c r="J6" s="20"/>
      <c r="K6" s="19" t="str">
        <f>"92,5"</f>
        <v>92,5</v>
      </c>
      <c r="L6" s="21" t="str">
        <f>"75,1239"</f>
        <v>75,1239</v>
      </c>
      <c r="M6" s="19" t="s">
        <v>20</v>
      </c>
    </row>
    <row r="7" spans="1:13" ht="12.75">
      <c r="A7" s="22" t="s">
        <v>105</v>
      </c>
      <c r="B7" s="22" t="s">
        <v>106</v>
      </c>
      <c r="C7" s="22" t="s">
        <v>107</v>
      </c>
      <c r="D7" s="22" t="str">
        <f>"0,7913"</f>
        <v>0,7913</v>
      </c>
      <c r="E7" s="22" t="s">
        <v>35</v>
      </c>
      <c r="F7" s="22" t="s">
        <v>108</v>
      </c>
      <c r="G7" s="24" t="s">
        <v>109</v>
      </c>
      <c r="H7" s="24" t="s">
        <v>110</v>
      </c>
      <c r="I7" s="24" t="s">
        <v>111</v>
      </c>
      <c r="J7" s="23"/>
      <c r="K7" s="22" t="str">
        <f>"62,5"</f>
        <v>62,5</v>
      </c>
      <c r="L7" s="24" t="str">
        <f>"50,3465"</f>
        <v>50,3465</v>
      </c>
      <c r="M7" s="22" t="s">
        <v>20</v>
      </c>
    </row>
    <row r="9" spans="1:12" ht="15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8" t="s">
        <v>113</v>
      </c>
      <c r="B10" s="8" t="s">
        <v>114</v>
      </c>
      <c r="C10" s="8" t="s">
        <v>115</v>
      </c>
      <c r="D10" s="8" t="str">
        <f>"0,6219"</f>
        <v>0,6219</v>
      </c>
      <c r="E10" s="8" t="s">
        <v>35</v>
      </c>
      <c r="F10" s="8" t="s">
        <v>116</v>
      </c>
      <c r="G10" s="10" t="s">
        <v>117</v>
      </c>
      <c r="H10" s="10" t="s">
        <v>38</v>
      </c>
      <c r="I10" s="9" t="s">
        <v>118</v>
      </c>
      <c r="J10" s="9"/>
      <c r="K10" s="8" t="str">
        <f>"145,0"</f>
        <v>145,0</v>
      </c>
      <c r="L10" s="10" t="str">
        <f>"90,1755"</f>
        <v>90,1755</v>
      </c>
      <c r="M10" s="8" t="s">
        <v>20</v>
      </c>
    </row>
    <row r="12" spans="1:12" ht="15">
      <c r="A12" s="54" t="s">
        <v>21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19" t="s">
        <v>120</v>
      </c>
      <c r="B13" s="19" t="s">
        <v>121</v>
      </c>
      <c r="C13" s="19" t="s">
        <v>122</v>
      </c>
      <c r="D13" s="19" t="str">
        <f>"0,6000"</f>
        <v>0,6000</v>
      </c>
      <c r="E13" s="19" t="s">
        <v>35</v>
      </c>
      <c r="F13" s="19" t="s">
        <v>36</v>
      </c>
      <c r="G13" s="21" t="s">
        <v>123</v>
      </c>
      <c r="H13" s="21" t="s">
        <v>124</v>
      </c>
      <c r="I13" s="21" t="s">
        <v>125</v>
      </c>
      <c r="J13" s="20" t="s">
        <v>126</v>
      </c>
      <c r="K13" s="19" t="str">
        <f>"210,0"</f>
        <v>210,0</v>
      </c>
      <c r="L13" s="21" t="str">
        <f>"126,0000"</f>
        <v>126,0000</v>
      </c>
      <c r="M13" s="19" t="s">
        <v>20</v>
      </c>
    </row>
    <row r="14" spans="1:13" ht="12.75">
      <c r="A14" s="25" t="s">
        <v>128</v>
      </c>
      <c r="B14" s="25" t="s">
        <v>129</v>
      </c>
      <c r="C14" s="25" t="s">
        <v>130</v>
      </c>
      <c r="D14" s="25" t="str">
        <f>"0,5952"</f>
        <v>0,5952</v>
      </c>
      <c r="E14" s="25" t="s">
        <v>35</v>
      </c>
      <c r="F14" s="25" t="s">
        <v>131</v>
      </c>
      <c r="G14" s="27" t="s">
        <v>71</v>
      </c>
      <c r="H14" s="27" t="s">
        <v>132</v>
      </c>
      <c r="I14" s="26"/>
      <c r="J14" s="26"/>
      <c r="K14" s="25" t="str">
        <f>"155,0"</f>
        <v>155,0</v>
      </c>
      <c r="L14" s="27" t="str">
        <f>"92,2560"</f>
        <v>92,2560</v>
      </c>
      <c r="M14" s="25" t="s">
        <v>20</v>
      </c>
    </row>
    <row r="15" spans="1:13" ht="12.75">
      <c r="A15" s="25" t="s">
        <v>134</v>
      </c>
      <c r="B15" s="25" t="s">
        <v>135</v>
      </c>
      <c r="C15" s="25" t="s">
        <v>136</v>
      </c>
      <c r="D15" s="25" t="str">
        <f>"0,6069"</f>
        <v>0,6069</v>
      </c>
      <c r="E15" s="25" t="s">
        <v>35</v>
      </c>
      <c r="F15" s="25" t="s">
        <v>36</v>
      </c>
      <c r="G15" s="27" t="s">
        <v>137</v>
      </c>
      <c r="H15" s="27" t="s">
        <v>19</v>
      </c>
      <c r="I15" s="27" t="s">
        <v>118</v>
      </c>
      <c r="J15" s="26"/>
      <c r="K15" s="25" t="str">
        <f>"150,0"</f>
        <v>150,0</v>
      </c>
      <c r="L15" s="27" t="str">
        <f>"91,0350"</f>
        <v>91,0350</v>
      </c>
      <c r="M15" s="25" t="s">
        <v>20</v>
      </c>
    </row>
    <row r="16" spans="1:13" ht="12.75">
      <c r="A16" s="25" t="s">
        <v>139</v>
      </c>
      <c r="B16" s="25" t="s">
        <v>140</v>
      </c>
      <c r="C16" s="25" t="s">
        <v>141</v>
      </c>
      <c r="D16" s="25" t="str">
        <f>"0,5885"</f>
        <v>0,5885</v>
      </c>
      <c r="E16" s="25" t="s">
        <v>35</v>
      </c>
      <c r="F16" s="25" t="s">
        <v>36</v>
      </c>
      <c r="G16" s="26" t="s">
        <v>137</v>
      </c>
      <c r="H16" s="27" t="s">
        <v>137</v>
      </c>
      <c r="I16" s="26" t="s">
        <v>18</v>
      </c>
      <c r="J16" s="26"/>
      <c r="K16" s="25" t="str">
        <f>"130,0"</f>
        <v>130,0</v>
      </c>
      <c r="L16" s="27" t="str">
        <f>"76,5050"</f>
        <v>76,5050</v>
      </c>
      <c r="M16" s="25" t="s">
        <v>20</v>
      </c>
    </row>
    <row r="17" spans="1:13" ht="12.75">
      <c r="A17" s="22" t="s">
        <v>146</v>
      </c>
      <c r="B17" s="22" t="s">
        <v>147</v>
      </c>
      <c r="C17" s="22" t="s">
        <v>148</v>
      </c>
      <c r="D17" s="22" t="str">
        <f>"0,5956"</f>
        <v>0,5956</v>
      </c>
      <c r="E17" s="22" t="s">
        <v>149</v>
      </c>
      <c r="F17" s="22" t="s">
        <v>150</v>
      </c>
      <c r="G17" s="24" t="s">
        <v>28</v>
      </c>
      <c r="H17" s="24" t="s">
        <v>29</v>
      </c>
      <c r="I17" s="24" t="s">
        <v>137</v>
      </c>
      <c r="J17" s="23"/>
      <c r="K17" s="22" t="str">
        <f>"130,0"</f>
        <v>130,0</v>
      </c>
      <c r="L17" s="24" t="str">
        <f>"144,4032"</f>
        <v>144,4032</v>
      </c>
      <c r="M17" s="22" t="s">
        <v>20</v>
      </c>
    </row>
    <row r="19" spans="1:12" ht="15">
      <c r="A19" s="54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3" ht="12.75">
      <c r="A20" s="8" t="s">
        <v>152</v>
      </c>
      <c r="B20" s="8" t="s">
        <v>153</v>
      </c>
      <c r="C20" s="8" t="s">
        <v>154</v>
      </c>
      <c r="D20" s="8" t="str">
        <f>"0,5678"</f>
        <v>0,5678</v>
      </c>
      <c r="E20" s="8" t="s">
        <v>155</v>
      </c>
      <c r="F20" s="8" t="s">
        <v>156</v>
      </c>
      <c r="G20" s="10" t="s">
        <v>157</v>
      </c>
      <c r="H20" s="9" t="s">
        <v>29</v>
      </c>
      <c r="I20" s="9" t="s">
        <v>29</v>
      </c>
      <c r="J20" s="9"/>
      <c r="K20" s="8" t="str">
        <f>"120,0"</f>
        <v>120,0</v>
      </c>
      <c r="L20" s="10" t="str">
        <f>"71,4065"</f>
        <v>71,4065</v>
      </c>
      <c r="M20" s="8" t="s">
        <v>20</v>
      </c>
    </row>
    <row r="22" spans="1:12" ht="15">
      <c r="A22" s="54" t="s">
        <v>39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3" ht="12.75">
      <c r="A23" s="19" t="s">
        <v>159</v>
      </c>
      <c r="B23" s="19" t="s">
        <v>160</v>
      </c>
      <c r="C23" s="19" t="s">
        <v>161</v>
      </c>
      <c r="D23" s="19" t="str">
        <f>"0,5393"</f>
        <v>0,5393</v>
      </c>
      <c r="E23" s="19" t="s">
        <v>100</v>
      </c>
      <c r="F23" s="19" t="s">
        <v>36</v>
      </c>
      <c r="G23" s="21" t="s">
        <v>44</v>
      </c>
      <c r="H23" s="20" t="s">
        <v>162</v>
      </c>
      <c r="I23" s="21" t="s">
        <v>162</v>
      </c>
      <c r="J23" s="20"/>
      <c r="K23" s="19" t="str">
        <f>"185,0"</f>
        <v>185,0</v>
      </c>
      <c r="L23" s="21" t="str">
        <f>"99,7705"</f>
        <v>99,7705</v>
      </c>
      <c r="M23" s="19" t="s">
        <v>20</v>
      </c>
    </row>
    <row r="24" spans="1:13" ht="12.75">
      <c r="A24" s="22" t="s">
        <v>164</v>
      </c>
      <c r="B24" s="22" t="s">
        <v>165</v>
      </c>
      <c r="C24" s="22" t="s">
        <v>166</v>
      </c>
      <c r="D24" s="22" t="str">
        <f>"0,5386"</f>
        <v>0,5386</v>
      </c>
      <c r="E24" s="22" t="s">
        <v>35</v>
      </c>
      <c r="F24" s="22" t="s">
        <v>108</v>
      </c>
      <c r="G24" s="24" t="s">
        <v>167</v>
      </c>
      <c r="H24" s="23" t="s">
        <v>168</v>
      </c>
      <c r="I24" s="23" t="s">
        <v>168</v>
      </c>
      <c r="J24" s="23"/>
      <c r="K24" s="22" t="str">
        <f>"160,0"</f>
        <v>160,0</v>
      </c>
      <c r="L24" s="24" t="str">
        <f>"101,0845"</f>
        <v>101,0845</v>
      </c>
      <c r="M24" s="22" t="s">
        <v>20</v>
      </c>
    </row>
    <row r="26" spans="1:12" ht="15">
      <c r="A26" s="54" t="s">
        <v>83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3" ht="12.75">
      <c r="A27" s="8" t="s">
        <v>170</v>
      </c>
      <c r="B27" s="8" t="s">
        <v>171</v>
      </c>
      <c r="C27" s="8" t="s">
        <v>172</v>
      </c>
      <c r="D27" s="8" t="str">
        <f>"0,5211"</f>
        <v>0,5211</v>
      </c>
      <c r="E27" s="8" t="s">
        <v>35</v>
      </c>
      <c r="F27" s="8" t="s">
        <v>173</v>
      </c>
      <c r="G27" s="10" t="s">
        <v>91</v>
      </c>
      <c r="H27" s="10" t="s">
        <v>174</v>
      </c>
      <c r="I27" s="10" t="s">
        <v>175</v>
      </c>
      <c r="J27" s="9"/>
      <c r="K27" s="8" t="str">
        <f>"187,5"</f>
        <v>187,5</v>
      </c>
      <c r="L27" s="10" t="str">
        <f>"97,9994"</f>
        <v>97,9994</v>
      </c>
      <c r="M27" s="8" t="s">
        <v>20</v>
      </c>
    </row>
    <row r="29" spans="5:6" ht="15">
      <c r="E29" s="11" t="s">
        <v>46</v>
      </c>
      <c r="F29" s="11" t="s">
        <v>598</v>
      </c>
    </row>
    <row r="30" spans="5:6" ht="15">
      <c r="E30" s="11" t="s">
        <v>47</v>
      </c>
      <c r="F30" s="11" t="s">
        <v>599</v>
      </c>
    </row>
    <row r="31" spans="5:6" ht="15">
      <c r="E31" s="11" t="s">
        <v>48</v>
      </c>
      <c r="F31" s="11" t="s">
        <v>600</v>
      </c>
    </row>
    <row r="32" spans="5:6" ht="15">
      <c r="E32" s="11" t="s">
        <v>49</v>
      </c>
      <c r="F32" s="11" t="s">
        <v>609</v>
      </c>
    </row>
    <row r="33" spans="5:6" ht="15">
      <c r="E33" s="11" t="s">
        <v>49</v>
      </c>
      <c r="F33" s="11" t="s">
        <v>608</v>
      </c>
    </row>
    <row r="34" ht="15">
      <c r="E34" s="11"/>
    </row>
    <row r="35" ht="15">
      <c r="E35" s="11"/>
    </row>
    <row r="37" spans="1:2" ht="18">
      <c r="A37" s="12" t="s">
        <v>50</v>
      </c>
      <c r="B37" s="12"/>
    </row>
    <row r="38" spans="1:2" ht="15">
      <c r="A38" s="13" t="s">
        <v>176</v>
      </c>
      <c r="B38" s="13"/>
    </row>
    <row r="39" spans="1:2" ht="14.25">
      <c r="A39" s="15"/>
      <c r="B39" s="16" t="s">
        <v>177</v>
      </c>
    </row>
    <row r="40" spans="1:5" ht="15">
      <c r="A40" s="17" t="s">
        <v>53</v>
      </c>
      <c r="B40" s="17" t="s">
        <v>54</v>
      </c>
      <c r="C40" s="17" t="s">
        <v>55</v>
      </c>
      <c r="D40" s="17" t="s">
        <v>56</v>
      </c>
      <c r="E40" s="17" t="s">
        <v>57</v>
      </c>
    </row>
    <row r="41" spans="1:5" ht="12.75">
      <c r="A41" s="14" t="s">
        <v>96</v>
      </c>
      <c r="B41" s="4" t="s">
        <v>177</v>
      </c>
      <c r="C41" s="4" t="s">
        <v>178</v>
      </c>
      <c r="D41" s="4" t="s">
        <v>103</v>
      </c>
      <c r="E41" s="18" t="s">
        <v>179</v>
      </c>
    </row>
    <row r="43" spans="1:2" ht="14.25">
      <c r="A43" s="15"/>
      <c r="B43" s="16" t="s">
        <v>65</v>
      </c>
    </row>
    <row r="44" spans="1:5" ht="15">
      <c r="A44" s="17" t="s">
        <v>53</v>
      </c>
      <c r="B44" s="17" t="s">
        <v>54</v>
      </c>
      <c r="C44" s="17" t="s">
        <v>55</v>
      </c>
      <c r="D44" s="17" t="s">
        <v>56</v>
      </c>
      <c r="E44" s="17" t="s">
        <v>57</v>
      </c>
    </row>
    <row r="45" spans="1:5" ht="12.75">
      <c r="A45" s="14" t="s">
        <v>104</v>
      </c>
      <c r="B45" s="4" t="s">
        <v>69</v>
      </c>
      <c r="C45" s="4" t="s">
        <v>178</v>
      </c>
      <c r="D45" s="4" t="s">
        <v>180</v>
      </c>
      <c r="E45" s="18" t="s">
        <v>181</v>
      </c>
    </row>
    <row r="48" spans="1:2" ht="15">
      <c r="A48" s="13" t="s">
        <v>51</v>
      </c>
      <c r="B48" s="13"/>
    </row>
    <row r="49" spans="1:2" ht="14.25">
      <c r="A49" s="15"/>
      <c r="B49" s="16" t="s">
        <v>177</v>
      </c>
    </row>
    <row r="50" spans="1:5" ht="15">
      <c r="A50" s="17" t="s">
        <v>53</v>
      </c>
      <c r="B50" s="17" t="s">
        <v>54</v>
      </c>
      <c r="C50" s="17" t="s">
        <v>55</v>
      </c>
      <c r="D50" s="17" t="s">
        <v>56</v>
      </c>
      <c r="E50" s="17" t="s">
        <v>57</v>
      </c>
    </row>
    <row r="51" spans="1:5" ht="12.75">
      <c r="A51" s="14" t="s">
        <v>119</v>
      </c>
      <c r="B51" s="4" t="s">
        <v>177</v>
      </c>
      <c r="C51" s="4" t="s">
        <v>59</v>
      </c>
      <c r="D51" s="4" t="s">
        <v>182</v>
      </c>
      <c r="E51" s="18" t="s">
        <v>183</v>
      </c>
    </row>
    <row r="52" spans="1:5" ht="12.75">
      <c r="A52" s="14" t="s">
        <v>158</v>
      </c>
      <c r="B52" s="4" t="s">
        <v>177</v>
      </c>
      <c r="C52" s="4" t="s">
        <v>67</v>
      </c>
      <c r="D52" s="4" t="s">
        <v>162</v>
      </c>
      <c r="E52" s="18" t="s">
        <v>184</v>
      </c>
    </row>
    <row r="53" spans="1:5" ht="12.75">
      <c r="A53" s="14" t="s">
        <v>127</v>
      </c>
      <c r="B53" s="4" t="s">
        <v>177</v>
      </c>
      <c r="C53" s="4" t="s">
        <v>59</v>
      </c>
      <c r="D53" s="4" t="s">
        <v>132</v>
      </c>
      <c r="E53" s="18" t="s">
        <v>185</v>
      </c>
    </row>
    <row r="54" spans="1:5" ht="12.75">
      <c r="A54" s="14" t="s">
        <v>133</v>
      </c>
      <c r="B54" s="4" t="s">
        <v>177</v>
      </c>
      <c r="C54" s="4" t="s">
        <v>59</v>
      </c>
      <c r="D54" s="4" t="s">
        <v>118</v>
      </c>
      <c r="E54" s="18" t="s">
        <v>186</v>
      </c>
    </row>
    <row r="55" spans="1:5" ht="12.75">
      <c r="A55" s="14" t="s">
        <v>112</v>
      </c>
      <c r="B55" s="4" t="s">
        <v>177</v>
      </c>
      <c r="C55" s="4" t="s">
        <v>63</v>
      </c>
      <c r="D55" s="4" t="s">
        <v>71</v>
      </c>
      <c r="E55" s="18" t="s">
        <v>187</v>
      </c>
    </row>
    <row r="56" spans="1:5" ht="12.75">
      <c r="A56" s="14" t="s">
        <v>138</v>
      </c>
      <c r="B56" s="4" t="s">
        <v>177</v>
      </c>
      <c r="C56" s="4" t="s">
        <v>59</v>
      </c>
      <c r="D56" s="4" t="s">
        <v>137</v>
      </c>
      <c r="E56" s="18" t="s">
        <v>188</v>
      </c>
    </row>
    <row r="58" spans="1:2" ht="14.25">
      <c r="A58" s="15"/>
      <c r="B58" s="16" t="s">
        <v>65</v>
      </c>
    </row>
    <row r="59" spans="1:5" ht="15">
      <c r="A59" s="17" t="s">
        <v>53</v>
      </c>
      <c r="B59" s="17" t="s">
        <v>54</v>
      </c>
      <c r="C59" s="17" t="s">
        <v>55</v>
      </c>
      <c r="D59" s="17" t="s">
        <v>56</v>
      </c>
      <c r="E59" s="17" t="s">
        <v>57</v>
      </c>
    </row>
    <row r="60" spans="1:5" ht="12.75">
      <c r="A60" s="14" t="s">
        <v>145</v>
      </c>
      <c r="B60" s="4" t="s">
        <v>189</v>
      </c>
      <c r="C60" s="4" t="s">
        <v>59</v>
      </c>
      <c r="D60" s="4" t="s">
        <v>137</v>
      </c>
      <c r="E60" s="18" t="s">
        <v>190</v>
      </c>
    </row>
    <row r="61" spans="1:5" ht="12.75">
      <c r="A61" s="14" t="s">
        <v>163</v>
      </c>
      <c r="B61" s="4" t="s">
        <v>66</v>
      </c>
      <c r="C61" s="4" t="s">
        <v>67</v>
      </c>
      <c r="D61" s="4" t="s">
        <v>167</v>
      </c>
      <c r="E61" s="18" t="s">
        <v>191</v>
      </c>
    </row>
    <row r="62" spans="1:5" ht="12.75">
      <c r="A62" s="14" t="s">
        <v>169</v>
      </c>
      <c r="B62" s="4" t="s">
        <v>69</v>
      </c>
      <c r="C62" s="4" t="s">
        <v>92</v>
      </c>
      <c r="D62" s="4" t="s">
        <v>192</v>
      </c>
      <c r="E62" s="18" t="s">
        <v>193</v>
      </c>
    </row>
    <row r="63" spans="1:5" ht="12.75">
      <c r="A63" s="14" t="s">
        <v>151</v>
      </c>
      <c r="B63" s="4" t="s">
        <v>194</v>
      </c>
      <c r="C63" s="4" t="s">
        <v>70</v>
      </c>
      <c r="D63" s="4" t="s">
        <v>157</v>
      </c>
      <c r="E63" s="18" t="s">
        <v>195</v>
      </c>
    </row>
    <row r="68" spans="1:2" ht="18">
      <c r="A68" s="12" t="s">
        <v>73</v>
      </c>
      <c r="B68" s="12"/>
    </row>
    <row r="69" spans="1:3" ht="15">
      <c r="A69" s="17" t="s">
        <v>74</v>
      </c>
      <c r="B69" s="17" t="s">
        <v>75</v>
      </c>
      <c r="C69" s="17" t="s">
        <v>76</v>
      </c>
    </row>
    <row r="70" spans="1:3" ht="12.75">
      <c r="A70" s="4" t="s">
        <v>35</v>
      </c>
      <c r="B70" s="4" t="s">
        <v>196</v>
      </c>
      <c r="C70" s="4" t="s">
        <v>197</v>
      </c>
    </row>
    <row r="71" spans="1:3" ht="12.75">
      <c r="A71" s="4" t="s">
        <v>100</v>
      </c>
      <c r="B71" s="4" t="s">
        <v>77</v>
      </c>
      <c r="C71" s="4" t="s">
        <v>198</v>
      </c>
    </row>
    <row r="72" spans="1:3" ht="12.75">
      <c r="A72" s="4" t="s">
        <v>149</v>
      </c>
      <c r="B72" s="4" t="s">
        <v>79</v>
      </c>
      <c r="C72" s="4" t="s">
        <v>199</v>
      </c>
    </row>
    <row r="73" spans="1:3" ht="12.75">
      <c r="A73" s="4" t="s">
        <v>155</v>
      </c>
      <c r="B73" s="4" t="s">
        <v>79</v>
      </c>
      <c r="C73" s="4" t="s">
        <v>200</v>
      </c>
    </row>
  </sheetData>
  <sheetProtection/>
  <mergeCells count="17">
    <mergeCell ref="A19:L19"/>
    <mergeCell ref="A22:L22"/>
    <mergeCell ref="A26:L26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20.875" style="5" customWidth="1"/>
    <col min="5" max="5" width="23.75390625" style="4" bestFit="1" customWidth="1"/>
    <col min="6" max="6" width="21.125" style="4" bestFit="1" customWidth="1"/>
    <col min="7" max="7" width="13.125" style="3" customWidth="1"/>
    <col min="8" max="8" width="18.25390625" style="3" customWidth="1"/>
    <col min="9" max="9" width="17.375" style="3" customWidth="1"/>
    <col min="10" max="10" width="0.2421875" style="3" customWidth="1"/>
    <col min="11" max="13" width="7.00390625" style="3" hidden="1" customWidth="1"/>
    <col min="14" max="14" width="5.625" style="3" hidden="1" customWidth="1"/>
    <col min="15" max="16" width="7.00390625" style="3" hidden="1" customWidth="1"/>
    <col min="17" max="17" width="6.25390625" style="3" hidden="1" customWidth="1"/>
    <col min="18" max="18" width="5.625" style="3" hidden="1" customWidth="1"/>
    <col min="19" max="19" width="7.875" style="5" hidden="1" customWidth="1"/>
    <col min="20" max="20" width="8.625" style="6" hidden="1" customWidth="1"/>
    <col min="21" max="21" width="23.00390625" style="4" hidden="1" customWidth="1"/>
    <col min="22" max="16384" width="9.125" style="3" customWidth="1"/>
  </cols>
  <sheetData>
    <row r="1" spans="1:21" s="2" customFormat="1" ht="15" customHeight="1">
      <c r="A1" s="38" t="s">
        <v>595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115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9" ht="15">
      <c r="A3" s="47" t="s">
        <v>0</v>
      </c>
      <c r="B3" s="49" t="s">
        <v>6</v>
      </c>
      <c r="C3" s="49" t="s">
        <v>7</v>
      </c>
      <c r="D3" s="44" t="s">
        <v>4</v>
      </c>
      <c r="E3" s="44" t="s">
        <v>8</v>
      </c>
      <c r="F3" s="44" t="s">
        <v>597</v>
      </c>
      <c r="G3" s="44"/>
      <c r="H3" s="44" t="s">
        <v>429</v>
      </c>
      <c r="I3" s="52" t="s">
        <v>2</v>
      </c>
    </row>
    <row r="4" spans="1:9" ht="15.75" thickBot="1">
      <c r="A4" s="48"/>
      <c r="B4" s="45"/>
      <c r="C4" s="45"/>
      <c r="D4" s="45"/>
      <c r="E4" s="45"/>
      <c r="F4" s="7" t="s">
        <v>428</v>
      </c>
      <c r="G4" s="30" t="s">
        <v>427</v>
      </c>
      <c r="H4" s="45"/>
      <c r="I4" s="53"/>
    </row>
    <row r="5" spans="1:9" ht="15">
      <c r="A5" s="54" t="s">
        <v>601</v>
      </c>
      <c r="B5" s="54"/>
      <c r="C5" s="54"/>
      <c r="D5" s="54"/>
      <c r="E5" s="54"/>
      <c r="F5" s="54"/>
      <c r="G5" s="54"/>
      <c r="H5" s="54"/>
      <c r="I5" s="4"/>
    </row>
    <row r="6" spans="1:9" ht="12.75">
      <c r="A6" s="34" t="s">
        <v>602</v>
      </c>
      <c r="B6" s="34" t="s">
        <v>603</v>
      </c>
      <c r="C6" s="34" t="s">
        <v>604</v>
      </c>
      <c r="D6" s="34" t="s">
        <v>605</v>
      </c>
      <c r="E6" s="34" t="s">
        <v>606</v>
      </c>
      <c r="F6" s="35" t="s">
        <v>70</v>
      </c>
      <c r="G6" s="29">
        <v>15</v>
      </c>
      <c r="H6" s="34" t="s">
        <v>607</v>
      </c>
      <c r="I6" s="8" t="s">
        <v>20</v>
      </c>
    </row>
    <row r="7" spans="4:9" ht="12.75">
      <c r="D7" s="4"/>
      <c r="F7" s="3"/>
      <c r="G7" s="28"/>
      <c r="H7" s="4"/>
      <c r="I7" s="4"/>
    </row>
    <row r="8" spans="4:9" ht="15">
      <c r="D8" s="11" t="s">
        <v>46</v>
      </c>
      <c r="E8" s="11" t="s">
        <v>598</v>
      </c>
      <c r="F8" s="3"/>
      <c r="G8" s="28"/>
      <c r="H8" s="4"/>
      <c r="I8" s="4"/>
    </row>
    <row r="9" spans="4:9" ht="15">
      <c r="D9" s="11" t="s">
        <v>47</v>
      </c>
      <c r="E9" s="11" t="s">
        <v>599</v>
      </c>
      <c r="F9" s="3"/>
      <c r="G9" s="28"/>
      <c r="H9" s="4"/>
      <c r="I9" s="4"/>
    </row>
    <row r="10" spans="4:9" ht="15">
      <c r="D10" s="11" t="s">
        <v>48</v>
      </c>
      <c r="E10" s="11" t="s">
        <v>600</v>
      </c>
      <c r="F10" s="3"/>
      <c r="G10" s="28"/>
      <c r="H10" s="4"/>
      <c r="I10" s="4"/>
    </row>
    <row r="11" spans="4:9" ht="15">
      <c r="D11" s="11" t="s">
        <v>49</v>
      </c>
      <c r="E11" s="11" t="s">
        <v>609</v>
      </c>
      <c r="F11" s="3"/>
      <c r="G11" s="28"/>
      <c r="H11" s="4"/>
      <c r="I11" s="4"/>
    </row>
    <row r="12" spans="4:9" ht="15">
      <c r="D12" s="11" t="s">
        <v>49</v>
      </c>
      <c r="E12" s="11" t="s">
        <v>608</v>
      </c>
      <c r="F12" s="3"/>
      <c r="G12" s="28"/>
      <c r="H12" s="4"/>
      <c r="I12" s="4"/>
    </row>
  </sheetData>
  <sheetProtection/>
  <mergeCells count="10">
    <mergeCell ref="A1:U2"/>
    <mergeCell ref="I3:I4"/>
    <mergeCell ref="A5:H5"/>
    <mergeCell ref="A3:A4"/>
    <mergeCell ref="B3:B4"/>
    <mergeCell ref="C3:C4"/>
    <mergeCell ref="D3:D4"/>
    <mergeCell ref="E3:E4"/>
    <mergeCell ref="F3:G3"/>
    <mergeCell ref="H3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125" style="4" bestFit="1" customWidth="1"/>
    <col min="4" max="4" width="9.25390625" style="4" bestFit="1" customWidth="1"/>
    <col min="5" max="5" width="22.75390625" style="4" bestFit="1" customWidth="1"/>
    <col min="6" max="6" width="39.00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112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85</v>
      </c>
      <c r="B6" s="8" t="s">
        <v>86</v>
      </c>
      <c r="C6" s="8" t="s">
        <v>87</v>
      </c>
      <c r="D6" s="8" t="str">
        <f>"0,5314"</f>
        <v>0,5314</v>
      </c>
      <c r="E6" s="8" t="s">
        <v>35</v>
      </c>
      <c r="F6" s="8" t="s">
        <v>88</v>
      </c>
      <c r="G6" s="10" t="s">
        <v>89</v>
      </c>
      <c r="H6" s="10" t="s">
        <v>90</v>
      </c>
      <c r="I6" s="10" t="s">
        <v>91</v>
      </c>
      <c r="J6" s="9"/>
      <c r="K6" s="8" t="str">
        <f>"175,0"</f>
        <v>175,0</v>
      </c>
      <c r="L6" s="10" t="str">
        <f>"93,2740"</f>
        <v>93,2740</v>
      </c>
      <c r="M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2" ht="15">
      <c r="A17" s="13" t="s">
        <v>51</v>
      </c>
      <c r="B17" s="13"/>
    </row>
    <row r="18" spans="1:2" ht="14.25">
      <c r="A18" s="15"/>
      <c r="B18" s="16" t="s">
        <v>65</v>
      </c>
    </row>
    <row r="19" spans="1:5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57</v>
      </c>
    </row>
    <row r="20" spans="1:5" ht="12.75">
      <c r="A20" s="14" t="s">
        <v>84</v>
      </c>
      <c r="B20" s="4" t="s">
        <v>69</v>
      </c>
      <c r="C20" s="4" t="s">
        <v>92</v>
      </c>
      <c r="D20" s="4" t="s">
        <v>44</v>
      </c>
      <c r="E20" s="18" t="s">
        <v>93</v>
      </c>
    </row>
    <row r="25" spans="1:2" ht="18">
      <c r="A25" s="12" t="s">
        <v>73</v>
      </c>
      <c r="B25" s="12"/>
    </row>
    <row r="26" spans="1:3" ht="15">
      <c r="A26" s="17" t="s">
        <v>74</v>
      </c>
      <c r="B26" s="17" t="s">
        <v>75</v>
      </c>
      <c r="C26" s="17" t="s">
        <v>76</v>
      </c>
    </row>
    <row r="27" spans="1:3" ht="12.75">
      <c r="A27" s="4" t="s">
        <v>35</v>
      </c>
      <c r="B27" s="4" t="s">
        <v>79</v>
      </c>
      <c r="C27" s="4" t="s">
        <v>94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1.12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115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10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13</v>
      </c>
      <c r="B6" s="8" t="s">
        <v>14</v>
      </c>
      <c r="C6" s="8" t="s">
        <v>15</v>
      </c>
      <c r="D6" s="8" t="str">
        <f>"0,6241"</f>
        <v>0,6241</v>
      </c>
      <c r="E6" s="8" t="s">
        <v>16</v>
      </c>
      <c r="F6" s="8" t="s">
        <v>17</v>
      </c>
      <c r="G6" s="10" t="s">
        <v>18</v>
      </c>
      <c r="H6" s="9" t="s">
        <v>19</v>
      </c>
      <c r="I6" s="9" t="s">
        <v>19</v>
      </c>
      <c r="J6" s="9"/>
      <c r="K6" s="8" t="str">
        <f>"135,0"</f>
        <v>135,0</v>
      </c>
      <c r="L6" s="10" t="str">
        <f>"85,0960"</f>
        <v>85,0960</v>
      </c>
      <c r="M6" s="8" t="s">
        <v>20</v>
      </c>
    </row>
    <row r="8" spans="1:12" ht="15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8" t="s">
        <v>23</v>
      </c>
      <c r="B9" s="8" t="s">
        <v>24</v>
      </c>
      <c r="C9" s="8" t="s">
        <v>25</v>
      </c>
      <c r="D9" s="8" t="str">
        <f>"0,5865"</f>
        <v>0,5865</v>
      </c>
      <c r="E9" s="8" t="s">
        <v>26</v>
      </c>
      <c r="F9" s="8" t="s">
        <v>27</v>
      </c>
      <c r="G9" s="10" t="s">
        <v>28</v>
      </c>
      <c r="H9" s="9" t="s">
        <v>29</v>
      </c>
      <c r="I9" s="9" t="s">
        <v>29</v>
      </c>
      <c r="J9" s="9"/>
      <c r="K9" s="8" t="str">
        <f>"115,0"</f>
        <v>115,0</v>
      </c>
      <c r="L9" s="10" t="str">
        <f>"71,4943"</f>
        <v>71,4943</v>
      </c>
      <c r="M9" s="8" t="s">
        <v>20</v>
      </c>
    </row>
    <row r="11" spans="1:12" ht="15">
      <c r="A11" s="54" t="s">
        <v>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8" t="s">
        <v>32</v>
      </c>
      <c r="B12" s="8" t="s">
        <v>33</v>
      </c>
      <c r="C12" s="8" t="s">
        <v>34</v>
      </c>
      <c r="D12" s="8" t="str">
        <f>"0,5558"</f>
        <v>0,5558</v>
      </c>
      <c r="E12" s="8" t="s">
        <v>35</v>
      </c>
      <c r="F12" s="8" t="s">
        <v>36</v>
      </c>
      <c r="G12" s="9" t="s">
        <v>19</v>
      </c>
      <c r="H12" s="10" t="s">
        <v>37</v>
      </c>
      <c r="I12" s="10" t="s">
        <v>38</v>
      </c>
      <c r="J12" s="9"/>
      <c r="K12" s="8" t="str">
        <f>"145,0"</f>
        <v>145,0</v>
      </c>
      <c r="L12" s="10" t="str">
        <f>"80,8328"</f>
        <v>80,8328</v>
      </c>
      <c r="M12" s="8" t="s">
        <v>20</v>
      </c>
    </row>
    <row r="14" spans="1:12" ht="15">
      <c r="A14" s="54" t="s">
        <v>39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12.75">
      <c r="A15" s="8" t="s">
        <v>41</v>
      </c>
      <c r="B15" s="8" t="s">
        <v>42</v>
      </c>
      <c r="C15" s="8" t="s">
        <v>43</v>
      </c>
      <c r="D15" s="8" t="str">
        <f>"0,5365"</f>
        <v>0,5365</v>
      </c>
      <c r="E15" s="8" t="s">
        <v>16</v>
      </c>
      <c r="F15" s="8" t="s">
        <v>17</v>
      </c>
      <c r="G15" s="10" t="s">
        <v>44</v>
      </c>
      <c r="H15" s="9" t="s">
        <v>45</v>
      </c>
      <c r="I15" s="9" t="s">
        <v>45</v>
      </c>
      <c r="J15" s="9"/>
      <c r="K15" s="8" t="str">
        <f>"175,0"</f>
        <v>175,0</v>
      </c>
      <c r="L15" s="10" t="str">
        <f>"113,0405"</f>
        <v>113,0405</v>
      </c>
      <c r="M15" s="8" t="s">
        <v>20</v>
      </c>
    </row>
    <row r="17" spans="5:6" ht="15">
      <c r="E17" s="11" t="s">
        <v>46</v>
      </c>
      <c r="F17" s="11" t="s">
        <v>598</v>
      </c>
    </row>
    <row r="18" spans="5:6" ht="15">
      <c r="E18" s="11" t="s">
        <v>47</v>
      </c>
      <c r="F18" s="11" t="s">
        <v>599</v>
      </c>
    </row>
    <row r="19" spans="5:6" ht="15">
      <c r="E19" s="11" t="s">
        <v>48</v>
      </c>
      <c r="F19" s="11" t="s">
        <v>600</v>
      </c>
    </row>
    <row r="20" spans="5:6" ht="15">
      <c r="E20" s="11" t="s">
        <v>49</v>
      </c>
      <c r="F20" s="11" t="s">
        <v>609</v>
      </c>
    </row>
    <row r="21" spans="5:6" ht="15">
      <c r="E21" s="11" t="s">
        <v>49</v>
      </c>
      <c r="F21" s="11" t="s">
        <v>608</v>
      </c>
    </row>
    <row r="22" ht="15">
      <c r="E22" s="11"/>
    </row>
    <row r="23" ht="15">
      <c r="E23" s="11"/>
    </row>
    <row r="25" spans="1:2" ht="18">
      <c r="A25" s="12" t="s">
        <v>50</v>
      </c>
      <c r="B25" s="12"/>
    </row>
    <row r="26" spans="1:2" ht="15">
      <c r="A26" s="13" t="s">
        <v>51</v>
      </c>
      <c r="B26" s="13"/>
    </row>
    <row r="27" spans="1:2" ht="14.25">
      <c r="A27" s="15"/>
      <c r="B27" s="16" t="s">
        <v>52</v>
      </c>
    </row>
    <row r="28" spans="1:5" ht="15">
      <c r="A28" s="17" t="s">
        <v>53</v>
      </c>
      <c r="B28" s="17" t="s">
        <v>54</v>
      </c>
      <c r="C28" s="17" t="s">
        <v>55</v>
      </c>
      <c r="D28" s="17" t="s">
        <v>56</v>
      </c>
      <c r="E28" s="17" t="s">
        <v>57</v>
      </c>
    </row>
    <row r="29" spans="1:5" ht="12.75">
      <c r="A29" s="14" t="s">
        <v>22</v>
      </c>
      <c r="B29" s="4" t="s">
        <v>58</v>
      </c>
      <c r="C29" s="4" t="s">
        <v>59</v>
      </c>
      <c r="D29" s="4" t="s">
        <v>28</v>
      </c>
      <c r="E29" s="18" t="s">
        <v>60</v>
      </c>
    </row>
    <row r="31" spans="1:2" ht="14.25">
      <c r="A31" s="15"/>
      <c r="B31" s="16" t="s">
        <v>61</v>
      </c>
    </row>
    <row r="32" spans="1:5" ht="15">
      <c r="A32" s="17" t="s">
        <v>53</v>
      </c>
      <c r="B32" s="17" t="s">
        <v>54</v>
      </c>
      <c r="C32" s="17" t="s">
        <v>55</v>
      </c>
      <c r="D32" s="17" t="s">
        <v>56</v>
      </c>
      <c r="E32" s="17" t="s">
        <v>57</v>
      </c>
    </row>
    <row r="33" spans="1:5" ht="12.75">
      <c r="A33" s="14" t="s">
        <v>12</v>
      </c>
      <c r="B33" s="4" t="s">
        <v>62</v>
      </c>
      <c r="C33" s="4" t="s">
        <v>63</v>
      </c>
      <c r="D33" s="4" t="s">
        <v>18</v>
      </c>
      <c r="E33" s="18" t="s">
        <v>64</v>
      </c>
    </row>
    <row r="35" spans="1:2" ht="14.25">
      <c r="A35" s="15"/>
      <c r="B35" s="16" t="s">
        <v>65</v>
      </c>
    </row>
    <row r="36" spans="1:5" ht="15">
      <c r="A36" s="17" t="s">
        <v>53</v>
      </c>
      <c r="B36" s="17" t="s">
        <v>54</v>
      </c>
      <c r="C36" s="17" t="s">
        <v>55</v>
      </c>
      <c r="D36" s="17" t="s">
        <v>56</v>
      </c>
      <c r="E36" s="17" t="s">
        <v>57</v>
      </c>
    </row>
    <row r="37" spans="1:5" ht="12.75">
      <c r="A37" s="14" t="s">
        <v>40</v>
      </c>
      <c r="B37" s="4" t="s">
        <v>66</v>
      </c>
      <c r="C37" s="4" t="s">
        <v>67</v>
      </c>
      <c r="D37" s="4" t="s">
        <v>44</v>
      </c>
      <c r="E37" s="18" t="s">
        <v>68</v>
      </c>
    </row>
    <row r="38" spans="1:5" ht="12.75">
      <c r="A38" s="14" t="s">
        <v>31</v>
      </c>
      <c r="B38" s="4" t="s">
        <v>69</v>
      </c>
      <c r="C38" s="4" t="s">
        <v>70</v>
      </c>
      <c r="D38" s="4" t="s">
        <v>71</v>
      </c>
      <c r="E38" s="18" t="s">
        <v>72</v>
      </c>
    </row>
    <row r="43" spans="1:2" ht="18">
      <c r="A43" s="12" t="s">
        <v>73</v>
      </c>
      <c r="B43" s="12"/>
    </row>
    <row r="44" spans="1:3" ht="15">
      <c r="A44" s="17" t="s">
        <v>74</v>
      </c>
      <c r="B44" s="17" t="s">
        <v>75</v>
      </c>
      <c r="C44" s="17" t="s">
        <v>76</v>
      </c>
    </row>
    <row r="45" spans="1:3" ht="12.75">
      <c r="A45" s="4" t="s">
        <v>16</v>
      </c>
      <c r="B45" s="4" t="s">
        <v>77</v>
      </c>
      <c r="C45" s="4" t="s">
        <v>78</v>
      </c>
    </row>
    <row r="46" spans="1:3" ht="12.75">
      <c r="A46" s="4" t="s">
        <v>35</v>
      </c>
      <c r="B46" s="4" t="s">
        <v>79</v>
      </c>
      <c r="C46" s="4" t="s">
        <v>80</v>
      </c>
    </row>
    <row r="47" spans="1:3" ht="12.75">
      <c r="A47" s="4" t="s">
        <v>26</v>
      </c>
      <c r="B47" s="4" t="s">
        <v>79</v>
      </c>
      <c r="C47" s="4" t="s">
        <v>81</v>
      </c>
    </row>
  </sheetData>
  <sheetProtection/>
  <mergeCells count="15">
    <mergeCell ref="A5:L5"/>
    <mergeCell ref="A8:L8"/>
    <mergeCell ref="A11:L11"/>
    <mergeCell ref="A14:L14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8.625" style="4" customWidth="1"/>
    <col min="4" max="4" width="10.75390625" style="4" bestFit="1" customWidth="1"/>
    <col min="5" max="5" width="22.75390625" style="4" bestFit="1" customWidth="1"/>
    <col min="6" max="6" width="24.125" style="4" customWidth="1"/>
    <col min="7" max="7" width="5.625" style="3" bestFit="1" customWidth="1"/>
    <col min="8" max="8" width="11.625" style="28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594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84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547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593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440</v>
      </c>
      <c r="B6" s="8" t="s">
        <v>439</v>
      </c>
      <c r="C6" s="8" t="s">
        <v>438</v>
      </c>
      <c r="D6" s="8" t="str">
        <f>"0,9844"</f>
        <v>0,9844</v>
      </c>
      <c r="E6" s="8" t="s">
        <v>35</v>
      </c>
      <c r="F6" s="8" t="s">
        <v>36</v>
      </c>
      <c r="G6" s="10" t="s">
        <v>592</v>
      </c>
      <c r="H6" s="29" t="s">
        <v>591</v>
      </c>
      <c r="I6" s="8" t="str">
        <f>"1550,0"</f>
        <v>1550,0</v>
      </c>
      <c r="J6" s="10" t="str">
        <f>"1525,8200"</f>
        <v>1525,8200</v>
      </c>
      <c r="K6" s="8" t="s">
        <v>20</v>
      </c>
    </row>
    <row r="8" spans="1:10" ht="15">
      <c r="A8" s="54" t="s">
        <v>95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2.75">
      <c r="A9" s="8" t="s">
        <v>97</v>
      </c>
      <c r="B9" s="8" t="s">
        <v>98</v>
      </c>
      <c r="C9" s="8" t="s">
        <v>99</v>
      </c>
      <c r="D9" s="8" t="str">
        <f>"0,8981"</f>
        <v>0,8981</v>
      </c>
      <c r="E9" s="8" t="s">
        <v>100</v>
      </c>
      <c r="F9" s="8" t="s">
        <v>36</v>
      </c>
      <c r="G9" s="10" t="s">
        <v>504</v>
      </c>
      <c r="H9" s="29" t="s">
        <v>590</v>
      </c>
      <c r="I9" s="8" t="str">
        <f>"1625,0"</f>
        <v>1625,0</v>
      </c>
      <c r="J9" s="10" t="str">
        <f>"1459,4125"</f>
        <v>1459,4125</v>
      </c>
      <c r="K9" s="8" t="s">
        <v>20</v>
      </c>
    </row>
    <row r="11" spans="1:10" ht="15">
      <c r="A11" s="54" t="s">
        <v>11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1" ht="12.75">
      <c r="A12" s="8" t="s">
        <v>347</v>
      </c>
      <c r="B12" s="8" t="s">
        <v>348</v>
      </c>
      <c r="C12" s="8" t="s">
        <v>349</v>
      </c>
      <c r="D12" s="8" t="str">
        <f>"0,8125"</f>
        <v>0,8125</v>
      </c>
      <c r="E12" s="8" t="s">
        <v>26</v>
      </c>
      <c r="F12" s="8" t="s">
        <v>27</v>
      </c>
      <c r="G12" s="10" t="s">
        <v>237</v>
      </c>
      <c r="H12" s="29" t="s">
        <v>589</v>
      </c>
      <c r="I12" s="8" t="str">
        <f>"2170,0"</f>
        <v>2170,0</v>
      </c>
      <c r="J12" s="10" t="str">
        <f>"1763,1250"</f>
        <v>1763,1250</v>
      </c>
      <c r="K12" s="8" t="s">
        <v>20</v>
      </c>
    </row>
    <row r="14" spans="1:10" ht="15">
      <c r="A14" s="54" t="s">
        <v>21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1" ht="12.75">
      <c r="A15" s="8" t="s">
        <v>588</v>
      </c>
      <c r="B15" s="8" t="s">
        <v>129</v>
      </c>
      <c r="C15" s="8" t="s">
        <v>130</v>
      </c>
      <c r="D15" s="8" t="str">
        <f>"0,7333"</f>
        <v>0,7333</v>
      </c>
      <c r="E15" s="8" t="s">
        <v>35</v>
      </c>
      <c r="F15" s="8" t="s">
        <v>131</v>
      </c>
      <c r="G15" s="10" t="s">
        <v>102</v>
      </c>
      <c r="H15" s="29" t="s">
        <v>587</v>
      </c>
      <c r="I15" s="8" t="str">
        <f>"2430,0"</f>
        <v>2430,0</v>
      </c>
      <c r="J15" s="10" t="str">
        <f>"1781,9189"</f>
        <v>1781,9189</v>
      </c>
      <c r="K15" s="8" t="s">
        <v>20</v>
      </c>
    </row>
    <row r="17" spans="1:10" ht="15">
      <c r="A17" s="54" t="s">
        <v>39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1" ht="12.75">
      <c r="A18" s="8" t="s">
        <v>159</v>
      </c>
      <c r="B18" s="8" t="s">
        <v>160</v>
      </c>
      <c r="C18" s="8" t="s">
        <v>161</v>
      </c>
      <c r="D18" s="8" t="str">
        <f>"0,6535"</f>
        <v>0,6535</v>
      </c>
      <c r="E18" s="8" t="s">
        <v>100</v>
      </c>
      <c r="F18" s="8" t="s">
        <v>36</v>
      </c>
      <c r="G18" s="10" t="s">
        <v>334</v>
      </c>
      <c r="H18" s="29" t="s">
        <v>586</v>
      </c>
      <c r="I18" s="8" t="str">
        <f>"2200,0"</f>
        <v>2200,0</v>
      </c>
      <c r="J18" s="10" t="str">
        <f>"1437,7000"</f>
        <v>1437,7000</v>
      </c>
      <c r="K18" s="8" t="s">
        <v>20</v>
      </c>
    </row>
    <row r="20" spans="5:6" ht="15">
      <c r="E20" s="11" t="s">
        <v>46</v>
      </c>
      <c r="F20" s="11" t="s">
        <v>598</v>
      </c>
    </row>
    <row r="21" spans="5:6" ht="15">
      <c r="E21" s="11" t="s">
        <v>47</v>
      </c>
      <c r="F21" s="11" t="s">
        <v>599</v>
      </c>
    </row>
    <row r="22" spans="5:6" ht="15">
      <c r="E22" s="11" t="s">
        <v>48</v>
      </c>
      <c r="F22" s="11" t="s">
        <v>600</v>
      </c>
    </row>
    <row r="23" spans="5:6" ht="15">
      <c r="E23" s="11" t="s">
        <v>49</v>
      </c>
      <c r="F23" s="11" t="s">
        <v>609</v>
      </c>
    </row>
    <row r="24" spans="5:6" ht="15">
      <c r="E24" s="11" t="s">
        <v>49</v>
      </c>
      <c r="F24" s="11" t="s">
        <v>608</v>
      </c>
    </row>
    <row r="25" ht="15">
      <c r="E25" s="11"/>
    </row>
    <row r="26" ht="15">
      <c r="E26" s="11"/>
    </row>
    <row r="28" spans="1:2" ht="18">
      <c r="A28" s="12" t="s">
        <v>50</v>
      </c>
      <c r="B28" s="12"/>
    </row>
    <row r="29" spans="1:2" ht="15">
      <c r="A29" s="13" t="s">
        <v>176</v>
      </c>
      <c r="B29" s="13"/>
    </row>
    <row r="30" spans="1:2" ht="14.25">
      <c r="A30" s="15"/>
      <c r="B30" s="16" t="s">
        <v>177</v>
      </c>
    </row>
    <row r="31" spans="1:5" ht="15">
      <c r="A31" s="17" t="s">
        <v>53</v>
      </c>
      <c r="B31" s="17" t="s">
        <v>54</v>
      </c>
      <c r="C31" s="17" t="s">
        <v>55</v>
      </c>
      <c r="D31" s="17" t="s">
        <v>56</v>
      </c>
      <c r="E31" s="17" t="s">
        <v>544</v>
      </c>
    </row>
    <row r="32" spans="1:5" ht="12.75">
      <c r="A32" s="14" t="s">
        <v>96</v>
      </c>
      <c r="B32" s="4" t="s">
        <v>177</v>
      </c>
      <c r="C32" s="4" t="s">
        <v>178</v>
      </c>
      <c r="D32" s="4" t="s">
        <v>585</v>
      </c>
      <c r="E32" s="18" t="s">
        <v>584</v>
      </c>
    </row>
    <row r="34" spans="1:2" ht="14.25">
      <c r="A34" s="15"/>
      <c r="B34" s="16" t="s">
        <v>65</v>
      </c>
    </row>
    <row r="35" spans="1:5" ht="15">
      <c r="A35" s="17" t="s">
        <v>53</v>
      </c>
      <c r="B35" s="17" t="s">
        <v>54</v>
      </c>
      <c r="C35" s="17" t="s">
        <v>55</v>
      </c>
      <c r="D35" s="17" t="s">
        <v>56</v>
      </c>
      <c r="E35" s="17" t="s">
        <v>544</v>
      </c>
    </row>
    <row r="36" spans="1:5" ht="12.75">
      <c r="A36" s="14" t="s">
        <v>435</v>
      </c>
      <c r="B36" s="4" t="s">
        <v>194</v>
      </c>
      <c r="C36" s="4" t="s">
        <v>583</v>
      </c>
      <c r="D36" s="4" t="s">
        <v>582</v>
      </c>
      <c r="E36" s="18" t="s">
        <v>581</v>
      </c>
    </row>
    <row r="39" spans="1:2" ht="15">
      <c r="A39" s="13" t="s">
        <v>51</v>
      </c>
      <c r="B39" s="13"/>
    </row>
    <row r="40" spans="1:2" ht="14.25">
      <c r="A40" s="15"/>
      <c r="B40" s="16" t="s">
        <v>177</v>
      </c>
    </row>
    <row r="41" spans="1:5" ht="15">
      <c r="A41" s="17" t="s">
        <v>53</v>
      </c>
      <c r="B41" s="17" t="s">
        <v>54</v>
      </c>
      <c r="C41" s="17" t="s">
        <v>55</v>
      </c>
      <c r="D41" s="17" t="s">
        <v>56</v>
      </c>
      <c r="E41" s="17" t="s">
        <v>544</v>
      </c>
    </row>
    <row r="42" spans="1:5" ht="12.75">
      <c r="A42" s="14" t="s">
        <v>127</v>
      </c>
      <c r="B42" s="4" t="s">
        <v>177</v>
      </c>
      <c r="C42" s="4" t="s">
        <v>59</v>
      </c>
      <c r="D42" s="4" t="s">
        <v>580</v>
      </c>
      <c r="E42" s="18" t="s">
        <v>579</v>
      </c>
    </row>
    <row r="43" spans="1:5" ht="12.75">
      <c r="A43" s="14" t="s">
        <v>346</v>
      </c>
      <c r="B43" s="4" t="s">
        <v>177</v>
      </c>
      <c r="C43" s="4" t="s">
        <v>63</v>
      </c>
      <c r="D43" s="4" t="s">
        <v>578</v>
      </c>
      <c r="E43" s="18" t="s">
        <v>577</v>
      </c>
    </row>
    <row r="44" spans="1:5" ht="12.75">
      <c r="A44" s="14" t="s">
        <v>158</v>
      </c>
      <c r="B44" s="4" t="s">
        <v>177</v>
      </c>
      <c r="C44" s="4" t="s">
        <v>67</v>
      </c>
      <c r="D44" s="4" t="s">
        <v>576</v>
      </c>
      <c r="E44" s="18" t="s">
        <v>575</v>
      </c>
    </row>
    <row r="49" spans="1:2" ht="18">
      <c r="A49" s="12" t="s">
        <v>73</v>
      </c>
      <c r="B49" s="12"/>
    </row>
    <row r="50" spans="1:3" ht="15">
      <c r="A50" s="17" t="s">
        <v>74</v>
      </c>
      <c r="B50" s="17" t="s">
        <v>75</v>
      </c>
      <c r="C50" s="17" t="s">
        <v>76</v>
      </c>
    </row>
    <row r="51" spans="1:3" ht="12.75">
      <c r="A51" s="4" t="s">
        <v>100</v>
      </c>
      <c r="B51" s="4" t="s">
        <v>77</v>
      </c>
      <c r="C51" s="4" t="s">
        <v>198</v>
      </c>
    </row>
    <row r="52" spans="1:3" ht="12.75">
      <c r="A52" s="4" t="s">
        <v>35</v>
      </c>
      <c r="B52" s="4" t="s">
        <v>77</v>
      </c>
      <c r="C52" s="4" t="s">
        <v>574</v>
      </c>
    </row>
    <row r="53" spans="1:3" ht="12.75">
      <c r="A53" s="4" t="s">
        <v>26</v>
      </c>
      <c r="B53" s="4" t="s">
        <v>79</v>
      </c>
      <c r="C53" s="4" t="s">
        <v>395</v>
      </c>
    </row>
  </sheetData>
  <sheetProtection/>
  <mergeCells count="16"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  <mergeCell ref="A5:J5"/>
    <mergeCell ref="A8:J8"/>
    <mergeCell ref="A11:J11"/>
    <mergeCell ref="A14:J14"/>
    <mergeCell ref="A17:J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11.125" style="28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573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11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547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146</v>
      </c>
      <c r="B6" s="8" t="s">
        <v>147</v>
      </c>
      <c r="C6" s="8" t="s">
        <v>148</v>
      </c>
      <c r="D6" s="8" t="str">
        <f>"0,7341"</f>
        <v>0,7341</v>
      </c>
      <c r="E6" s="8" t="s">
        <v>149</v>
      </c>
      <c r="F6" s="8" t="s">
        <v>150</v>
      </c>
      <c r="G6" s="10" t="s">
        <v>546</v>
      </c>
      <c r="H6" s="29" t="s">
        <v>545</v>
      </c>
      <c r="I6" s="8" t="str">
        <f>"2835,0"</f>
        <v>2835,0</v>
      </c>
      <c r="J6" s="10" t="str">
        <f>"2081,1735"</f>
        <v>2081,1735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2" ht="15">
      <c r="A17" s="13" t="s">
        <v>51</v>
      </c>
      <c r="B17" s="13"/>
    </row>
    <row r="18" spans="1:2" ht="14.25">
      <c r="A18" s="15"/>
      <c r="B18" s="16" t="s">
        <v>65</v>
      </c>
    </row>
    <row r="19" spans="1:5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544</v>
      </c>
    </row>
    <row r="20" spans="1:5" ht="12.75">
      <c r="A20" s="14" t="s">
        <v>145</v>
      </c>
      <c r="B20" s="4" t="s">
        <v>189</v>
      </c>
      <c r="C20" s="4" t="s">
        <v>59</v>
      </c>
      <c r="D20" s="4" t="s">
        <v>543</v>
      </c>
      <c r="E20" s="18" t="s">
        <v>542</v>
      </c>
    </row>
    <row r="25" spans="1:2" ht="18">
      <c r="A25" s="12" t="s">
        <v>73</v>
      </c>
      <c r="B25" s="12"/>
    </row>
    <row r="26" spans="1:3" ht="15">
      <c r="A26" s="17" t="s">
        <v>74</v>
      </c>
      <c r="B26" s="17" t="s">
        <v>75</v>
      </c>
      <c r="C26" s="17" t="s">
        <v>76</v>
      </c>
    </row>
    <row r="27" spans="1:3" ht="12.75">
      <c r="A27" s="4" t="s">
        <v>149</v>
      </c>
      <c r="B27" s="4" t="s">
        <v>79</v>
      </c>
      <c r="C27" s="4" t="s">
        <v>199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32.875" style="4" bestFit="1" customWidth="1"/>
    <col min="3" max="3" width="19.875" style="4" customWidth="1"/>
    <col min="4" max="4" width="10.75390625" style="4" bestFit="1" customWidth="1"/>
    <col min="5" max="5" width="22.75390625" style="4" bestFit="1" customWidth="1"/>
    <col min="6" max="6" width="27.625" style="4" bestFit="1" customWidth="1"/>
    <col min="7" max="7" width="5.625" style="3" bestFit="1" customWidth="1"/>
    <col min="8" max="8" width="10.00390625" style="28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572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0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547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571</v>
      </c>
      <c r="B6" s="8" t="s">
        <v>570</v>
      </c>
      <c r="C6" s="8" t="s">
        <v>569</v>
      </c>
      <c r="D6" s="8" t="str">
        <f>"0,8052"</f>
        <v>0,8052</v>
      </c>
      <c r="E6" s="8" t="s">
        <v>35</v>
      </c>
      <c r="F6" s="8" t="s">
        <v>568</v>
      </c>
      <c r="G6" s="10" t="s">
        <v>567</v>
      </c>
      <c r="H6" s="29" t="s">
        <v>566</v>
      </c>
      <c r="I6" s="8" t="str">
        <f>"3177,5"</f>
        <v>3177,5</v>
      </c>
      <c r="J6" s="10" t="str">
        <f>"2558,5229"</f>
        <v>2558,5229</v>
      </c>
      <c r="K6" s="8" t="s">
        <v>20</v>
      </c>
    </row>
    <row r="8" spans="1:10" ht="15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2.75">
      <c r="A9" s="19" t="s">
        <v>497</v>
      </c>
      <c r="B9" s="19" t="s">
        <v>496</v>
      </c>
      <c r="C9" s="19" t="s">
        <v>495</v>
      </c>
      <c r="D9" s="19" t="str">
        <f>"0,7209"</f>
        <v>0,7209</v>
      </c>
      <c r="E9" s="19" t="s">
        <v>100</v>
      </c>
      <c r="F9" s="19" t="s">
        <v>36</v>
      </c>
      <c r="G9" s="21" t="s">
        <v>102</v>
      </c>
      <c r="H9" s="33" t="s">
        <v>458</v>
      </c>
      <c r="I9" s="19" t="str">
        <f>"4140,0"</f>
        <v>4140,0</v>
      </c>
      <c r="J9" s="21" t="str">
        <f>"2984,5260"</f>
        <v>2984,5260</v>
      </c>
      <c r="K9" s="19" t="s">
        <v>20</v>
      </c>
    </row>
    <row r="10" spans="1:11" ht="12.75">
      <c r="A10" s="22" t="s">
        <v>497</v>
      </c>
      <c r="B10" s="22" t="s">
        <v>565</v>
      </c>
      <c r="C10" s="22" t="s">
        <v>495</v>
      </c>
      <c r="D10" s="22" t="str">
        <f>"0,7209"</f>
        <v>0,7209</v>
      </c>
      <c r="E10" s="22" t="s">
        <v>100</v>
      </c>
      <c r="F10" s="22" t="s">
        <v>36</v>
      </c>
      <c r="G10" s="24" t="s">
        <v>102</v>
      </c>
      <c r="H10" s="31" t="s">
        <v>458</v>
      </c>
      <c r="I10" s="22" t="str">
        <f>"4140,0"</f>
        <v>4140,0</v>
      </c>
      <c r="J10" s="24" t="str">
        <f>"2984,5260"</f>
        <v>2984,5260</v>
      </c>
      <c r="K10" s="22" t="s">
        <v>20</v>
      </c>
    </row>
    <row r="12" spans="1:10" ht="15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1" ht="12.75">
      <c r="A13" s="8" t="s">
        <v>480</v>
      </c>
      <c r="B13" s="8" t="s">
        <v>479</v>
      </c>
      <c r="C13" s="8" t="s">
        <v>262</v>
      </c>
      <c r="D13" s="8" t="str">
        <f>"0,6625"</f>
        <v>0,6625</v>
      </c>
      <c r="E13" s="8" t="s">
        <v>100</v>
      </c>
      <c r="F13" s="8" t="s">
        <v>478</v>
      </c>
      <c r="G13" s="10" t="s">
        <v>486</v>
      </c>
      <c r="H13" s="29" t="s">
        <v>564</v>
      </c>
      <c r="I13" s="8" t="str">
        <f>"4200,0"</f>
        <v>4200,0</v>
      </c>
      <c r="J13" s="10" t="str">
        <f>"2782,5001"</f>
        <v>2782,5001</v>
      </c>
      <c r="K13" s="8" t="s">
        <v>20</v>
      </c>
    </row>
    <row r="15" spans="1:10" ht="15">
      <c r="A15" s="54" t="s">
        <v>39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1" ht="12.75">
      <c r="A16" s="8" t="s">
        <v>489</v>
      </c>
      <c r="B16" s="8" t="s">
        <v>488</v>
      </c>
      <c r="C16" s="8" t="s">
        <v>487</v>
      </c>
      <c r="D16" s="8" t="str">
        <f>"0,6927"</f>
        <v>0,6927</v>
      </c>
      <c r="E16" s="8" t="s">
        <v>100</v>
      </c>
      <c r="F16" s="8" t="s">
        <v>36</v>
      </c>
      <c r="G16" s="10" t="s">
        <v>563</v>
      </c>
      <c r="H16" s="29" t="s">
        <v>562</v>
      </c>
      <c r="I16" s="8" t="str">
        <f>"4920,0"</f>
        <v>4920,0</v>
      </c>
      <c r="J16" s="10" t="str">
        <f>"3408,0841"</f>
        <v>3408,0841</v>
      </c>
      <c r="K16" s="8" t="s">
        <v>20</v>
      </c>
    </row>
    <row r="18" spans="5:6" ht="15">
      <c r="E18" s="11" t="s">
        <v>46</v>
      </c>
      <c r="F18" s="11" t="s">
        <v>598</v>
      </c>
    </row>
    <row r="19" spans="5:6" ht="15">
      <c r="E19" s="11" t="s">
        <v>47</v>
      </c>
      <c r="F19" s="11" t="s">
        <v>599</v>
      </c>
    </row>
    <row r="20" spans="5:6" ht="15">
      <c r="E20" s="11" t="s">
        <v>48</v>
      </c>
      <c r="F20" s="11" t="s">
        <v>600</v>
      </c>
    </row>
    <row r="21" spans="5:6" ht="15">
      <c r="E21" s="11" t="s">
        <v>49</v>
      </c>
      <c r="F21" s="11" t="s">
        <v>609</v>
      </c>
    </row>
    <row r="22" spans="5:6" ht="15">
      <c r="E22" s="11" t="s">
        <v>49</v>
      </c>
      <c r="F22" s="11" t="s">
        <v>608</v>
      </c>
    </row>
    <row r="23" ht="15">
      <c r="E23" s="11"/>
    </row>
    <row r="24" ht="15">
      <c r="E24" s="11"/>
    </row>
    <row r="26" spans="1:2" ht="18">
      <c r="A26" s="12" t="s">
        <v>50</v>
      </c>
      <c r="B26" s="12"/>
    </row>
    <row r="27" spans="1:2" ht="15">
      <c r="A27" s="13" t="s">
        <v>51</v>
      </c>
      <c r="B27" s="13"/>
    </row>
    <row r="28" spans="1:2" ht="14.25">
      <c r="A28" s="15"/>
      <c r="B28" s="16" t="s">
        <v>177</v>
      </c>
    </row>
    <row r="29" spans="1:5" ht="15">
      <c r="A29" s="17" t="s">
        <v>53</v>
      </c>
      <c r="B29" s="17" t="s">
        <v>54</v>
      </c>
      <c r="C29" s="17" t="s">
        <v>55</v>
      </c>
      <c r="D29" s="17" t="s">
        <v>56</v>
      </c>
      <c r="E29" s="17" t="s">
        <v>544</v>
      </c>
    </row>
    <row r="30" spans="1:5" ht="12.75">
      <c r="A30" s="14" t="s">
        <v>484</v>
      </c>
      <c r="B30" s="4" t="s">
        <v>177</v>
      </c>
      <c r="C30" s="4" t="s">
        <v>67</v>
      </c>
      <c r="D30" s="4" t="s">
        <v>561</v>
      </c>
      <c r="E30" s="18" t="s">
        <v>560</v>
      </c>
    </row>
    <row r="31" spans="1:5" ht="12.75">
      <c r="A31" s="14" t="s">
        <v>493</v>
      </c>
      <c r="B31" s="4" t="s">
        <v>177</v>
      </c>
      <c r="C31" s="4" t="s">
        <v>59</v>
      </c>
      <c r="D31" s="4" t="s">
        <v>552</v>
      </c>
      <c r="E31" s="18" t="s">
        <v>551</v>
      </c>
    </row>
    <row r="32" spans="1:5" ht="12.75">
      <c r="A32" s="14" t="s">
        <v>477</v>
      </c>
      <c r="B32" s="4" t="s">
        <v>177</v>
      </c>
      <c r="C32" s="4" t="s">
        <v>70</v>
      </c>
      <c r="D32" s="4" t="s">
        <v>559</v>
      </c>
      <c r="E32" s="18" t="s">
        <v>558</v>
      </c>
    </row>
    <row r="33" spans="1:5" ht="12.75">
      <c r="A33" s="14" t="s">
        <v>557</v>
      </c>
      <c r="B33" s="4" t="s">
        <v>177</v>
      </c>
      <c r="C33" s="4" t="s">
        <v>63</v>
      </c>
      <c r="D33" s="4" t="s">
        <v>556</v>
      </c>
      <c r="E33" s="18" t="s">
        <v>555</v>
      </c>
    </row>
    <row r="35" spans="1:2" ht="14.25">
      <c r="A35" s="15"/>
      <c r="B35" s="16" t="s">
        <v>554</v>
      </c>
    </row>
    <row r="36" spans="1:5" ht="15">
      <c r="A36" s="17" t="s">
        <v>53</v>
      </c>
      <c r="B36" s="17" t="s">
        <v>54</v>
      </c>
      <c r="C36" s="17" t="s">
        <v>55</v>
      </c>
      <c r="D36" s="17" t="s">
        <v>56</v>
      </c>
      <c r="E36" s="17" t="s">
        <v>544</v>
      </c>
    </row>
    <row r="37" spans="1:5" ht="12.75">
      <c r="A37" s="14" t="s">
        <v>493</v>
      </c>
      <c r="B37" s="4" t="s">
        <v>553</v>
      </c>
      <c r="C37" s="4" t="s">
        <v>59</v>
      </c>
      <c r="D37" s="4" t="s">
        <v>552</v>
      </c>
      <c r="E37" s="18" t="s">
        <v>551</v>
      </c>
    </row>
    <row r="42" spans="1:2" ht="18">
      <c r="A42" s="12" t="s">
        <v>73</v>
      </c>
      <c r="B42" s="12"/>
    </row>
    <row r="43" spans="1:3" ht="15">
      <c r="A43" s="17" t="s">
        <v>74</v>
      </c>
      <c r="B43" s="17" t="s">
        <v>75</v>
      </c>
      <c r="C43" s="17" t="s">
        <v>76</v>
      </c>
    </row>
    <row r="44" spans="1:3" ht="12.75">
      <c r="A44" s="4" t="s">
        <v>100</v>
      </c>
      <c r="B44" s="4" t="s">
        <v>290</v>
      </c>
      <c r="C44" s="4" t="s">
        <v>550</v>
      </c>
    </row>
    <row r="45" spans="1:3" ht="12.75">
      <c r="A45" s="4" t="s">
        <v>35</v>
      </c>
      <c r="B45" s="4" t="s">
        <v>79</v>
      </c>
      <c r="C45" s="4" t="s">
        <v>549</v>
      </c>
    </row>
  </sheetData>
  <sheetProtection/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A15:J15"/>
    <mergeCell ref="I3:I4"/>
    <mergeCell ref="J3:J4"/>
    <mergeCell ref="K3:K4"/>
    <mergeCell ref="A5:J5"/>
    <mergeCell ref="A8:J8"/>
    <mergeCell ref="A12:J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9.875" style="28" customWidth="1"/>
    <col min="9" max="9" width="7.875" style="4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548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5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547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146</v>
      </c>
      <c r="B6" s="8" t="s">
        <v>147</v>
      </c>
      <c r="C6" s="8" t="s">
        <v>148</v>
      </c>
      <c r="D6" s="8" t="str">
        <f>"0,7341"</f>
        <v>0,7341</v>
      </c>
      <c r="E6" s="8" t="s">
        <v>149</v>
      </c>
      <c r="F6" s="8" t="s">
        <v>150</v>
      </c>
      <c r="G6" s="10" t="s">
        <v>546</v>
      </c>
      <c r="H6" s="29" t="s">
        <v>545</v>
      </c>
      <c r="I6" s="8" t="str">
        <f>"2835,0"</f>
        <v>2835,0</v>
      </c>
      <c r="J6" s="10" t="str">
        <f>"2081,1735"</f>
        <v>2081,1735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2:6" ht="15">
      <c r="B10" s="37" t="s">
        <v>626</v>
      </c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2" ht="15">
      <c r="A17" s="13" t="s">
        <v>51</v>
      </c>
      <c r="B17" s="13"/>
    </row>
    <row r="18" spans="1:2" ht="14.25">
      <c r="A18" s="15"/>
      <c r="B18" s="16" t="s">
        <v>65</v>
      </c>
    </row>
    <row r="19" spans="1:5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544</v>
      </c>
    </row>
    <row r="20" spans="1:5" ht="12.75">
      <c r="A20" s="14" t="s">
        <v>145</v>
      </c>
      <c r="B20" s="4" t="s">
        <v>189</v>
      </c>
      <c r="C20" s="4" t="s">
        <v>59</v>
      </c>
      <c r="D20" s="4" t="s">
        <v>543</v>
      </c>
      <c r="E20" s="18" t="s">
        <v>542</v>
      </c>
    </row>
    <row r="25" spans="1:2" ht="18">
      <c r="A25" s="12" t="s">
        <v>73</v>
      </c>
      <c r="B25" s="12"/>
    </row>
    <row r="26" spans="1:3" ht="15">
      <c r="A26" s="17" t="s">
        <v>74</v>
      </c>
      <c r="B26" s="17" t="s">
        <v>75</v>
      </c>
      <c r="C26" s="17" t="s">
        <v>76</v>
      </c>
    </row>
    <row r="27" spans="1:3" ht="12.75">
      <c r="A27" s="4" t="s">
        <v>149</v>
      </c>
      <c r="B27" s="4" t="s">
        <v>79</v>
      </c>
      <c r="C27" s="4" t="s">
        <v>199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5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8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44" t="s">
        <v>9</v>
      </c>
      <c r="E3" s="44" t="s">
        <v>4</v>
      </c>
      <c r="F3" s="44" t="s">
        <v>8</v>
      </c>
      <c r="G3" s="44" t="s">
        <v>532</v>
      </c>
      <c r="H3" s="44"/>
      <c r="I3" s="44"/>
      <c r="J3" s="44"/>
      <c r="K3" s="44" t="s">
        <v>82</v>
      </c>
      <c r="L3" s="44" t="s">
        <v>3</v>
      </c>
      <c r="M3" s="52" t="s">
        <v>2</v>
      </c>
    </row>
    <row r="4" spans="1:13" s="1" customFormat="1" ht="21" customHeight="1" thickBot="1">
      <c r="A4" s="48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5</v>
      </c>
      <c r="K4" s="45"/>
      <c r="L4" s="45"/>
      <c r="M4" s="53"/>
    </row>
    <row r="5" spans="1:12" ht="15">
      <c r="A5" s="46" t="s">
        <v>201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8" t="s">
        <v>531</v>
      </c>
      <c r="B6" s="8" t="s">
        <v>337</v>
      </c>
      <c r="C6" s="8" t="s">
        <v>338</v>
      </c>
      <c r="D6" s="8" t="str">
        <f>"0,8622"</f>
        <v>0,8622</v>
      </c>
      <c r="E6" s="8" t="s">
        <v>35</v>
      </c>
      <c r="F6" s="8" t="s">
        <v>36</v>
      </c>
      <c r="G6" s="10" t="s">
        <v>530</v>
      </c>
      <c r="H6" s="10" t="s">
        <v>529</v>
      </c>
      <c r="I6" s="10" t="s">
        <v>528</v>
      </c>
      <c r="J6" s="9"/>
      <c r="K6" s="8" t="str">
        <f>"30,0"</f>
        <v>30,0</v>
      </c>
      <c r="L6" s="10" t="str">
        <f>"25,8645"</f>
        <v>25,8645</v>
      </c>
      <c r="M6" s="8" t="s">
        <v>20</v>
      </c>
    </row>
    <row r="8" spans="1:12" ht="15">
      <c r="A8" s="54" t="s">
        <v>245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9" t="s">
        <v>527</v>
      </c>
      <c r="B9" s="19" t="s">
        <v>526</v>
      </c>
      <c r="C9" s="19" t="s">
        <v>525</v>
      </c>
      <c r="D9" s="19" t="str">
        <f>"0,6997"</f>
        <v>0,6997</v>
      </c>
      <c r="E9" s="19" t="s">
        <v>35</v>
      </c>
      <c r="F9" s="19" t="s">
        <v>524</v>
      </c>
      <c r="G9" s="21" t="s">
        <v>110</v>
      </c>
      <c r="H9" s="20" t="s">
        <v>504</v>
      </c>
      <c r="I9" s="21" t="s">
        <v>523</v>
      </c>
      <c r="J9" s="20"/>
      <c r="K9" s="19" t="str">
        <f>"65,0"</f>
        <v>65,0</v>
      </c>
      <c r="L9" s="21" t="str">
        <f>"45,4805"</f>
        <v>45,4805</v>
      </c>
      <c r="M9" s="19" t="s">
        <v>20</v>
      </c>
    </row>
    <row r="10" spans="1:13" ht="12.75">
      <c r="A10" s="22" t="s">
        <v>522</v>
      </c>
      <c r="B10" s="22" t="s">
        <v>463</v>
      </c>
      <c r="C10" s="22" t="s">
        <v>462</v>
      </c>
      <c r="D10" s="22" t="str">
        <f>"0,6673"</f>
        <v>0,6673</v>
      </c>
      <c r="E10" s="22" t="s">
        <v>443</v>
      </c>
      <c r="F10" s="22" t="s">
        <v>461</v>
      </c>
      <c r="G10" s="24" t="s">
        <v>459</v>
      </c>
      <c r="H10" s="23" t="s">
        <v>521</v>
      </c>
      <c r="I10" s="23" t="s">
        <v>521</v>
      </c>
      <c r="J10" s="23"/>
      <c r="K10" s="22" t="str">
        <f>"55,0"</f>
        <v>55,0</v>
      </c>
      <c r="L10" s="24" t="str">
        <f>"37,0318"</f>
        <v>37,0318</v>
      </c>
      <c r="M10" s="22" t="s">
        <v>20</v>
      </c>
    </row>
    <row r="12" spans="1:12" ht="15">
      <c r="A12" s="54" t="s">
        <v>11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19" t="s">
        <v>520</v>
      </c>
      <c r="B13" s="19" t="s">
        <v>519</v>
      </c>
      <c r="C13" s="19" t="s">
        <v>518</v>
      </c>
      <c r="D13" s="19" t="str">
        <f>"0,6341"</f>
        <v>0,6341</v>
      </c>
      <c r="E13" s="19" t="s">
        <v>243</v>
      </c>
      <c r="F13" s="19" t="s">
        <v>517</v>
      </c>
      <c r="G13" s="21" t="s">
        <v>510</v>
      </c>
      <c r="H13" s="20" t="s">
        <v>507</v>
      </c>
      <c r="I13" s="21" t="s">
        <v>507</v>
      </c>
      <c r="J13" s="20"/>
      <c r="K13" s="19" t="str">
        <f>"72,5"</f>
        <v>72,5</v>
      </c>
      <c r="L13" s="21" t="str">
        <f>"45,9723"</f>
        <v>45,9723</v>
      </c>
      <c r="M13" s="19" t="s">
        <v>20</v>
      </c>
    </row>
    <row r="14" spans="1:13" ht="12.75">
      <c r="A14" s="22" t="s">
        <v>516</v>
      </c>
      <c r="B14" s="22" t="s">
        <v>515</v>
      </c>
      <c r="C14" s="22" t="s">
        <v>514</v>
      </c>
      <c r="D14" s="22" t="str">
        <f>"0,6550"</f>
        <v>0,6550</v>
      </c>
      <c r="E14" s="22" t="s">
        <v>35</v>
      </c>
      <c r="F14" s="22" t="s">
        <v>263</v>
      </c>
      <c r="G14" s="24" t="s">
        <v>459</v>
      </c>
      <c r="H14" s="24" t="s">
        <v>513</v>
      </c>
      <c r="I14" s="24" t="s">
        <v>180</v>
      </c>
      <c r="J14" s="23"/>
      <c r="K14" s="22" t="str">
        <f>"62,5"</f>
        <v>62,5</v>
      </c>
      <c r="L14" s="24" t="str">
        <f>"41,0603"</f>
        <v>41,0603</v>
      </c>
      <c r="M14" s="22" t="s">
        <v>20</v>
      </c>
    </row>
    <row r="16" spans="1:12" ht="15">
      <c r="A16" s="54" t="s">
        <v>21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8" t="s">
        <v>23</v>
      </c>
      <c r="B17" s="8" t="s">
        <v>24</v>
      </c>
      <c r="C17" s="8" t="s">
        <v>25</v>
      </c>
      <c r="D17" s="8" t="str">
        <f>"0,5865"</f>
        <v>0,5865</v>
      </c>
      <c r="E17" s="8" t="s">
        <v>26</v>
      </c>
      <c r="F17" s="8" t="s">
        <v>27</v>
      </c>
      <c r="G17" s="10" t="s">
        <v>180</v>
      </c>
      <c r="H17" s="10" t="s">
        <v>504</v>
      </c>
      <c r="I17" s="10" t="s">
        <v>510</v>
      </c>
      <c r="J17" s="9"/>
      <c r="K17" s="8" t="str">
        <f>"67,5"</f>
        <v>67,5</v>
      </c>
      <c r="L17" s="10" t="str">
        <f>"41,9641"</f>
        <v>41,9641</v>
      </c>
      <c r="M17" s="8" t="s">
        <v>20</v>
      </c>
    </row>
    <row r="19" spans="5:6" ht="15">
      <c r="E19" s="11" t="s">
        <v>46</v>
      </c>
      <c r="F19" s="11" t="s">
        <v>598</v>
      </c>
    </row>
    <row r="20" spans="5:6" ht="15">
      <c r="E20" s="11" t="s">
        <v>47</v>
      </c>
      <c r="F20" s="11" t="s">
        <v>599</v>
      </c>
    </row>
    <row r="21" spans="5:6" ht="15">
      <c r="E21" s="11" t="s">
        <v>48</v>
      </c>
      <c r="F21" s="11" t="s">
        <v>600</v>
      </c>
    </row>
    <row r="22" spans="5:6" ht="15">
      <c r="E22" s="11" t="s">
        <v>49</v>
      </c>
      <c r="F22" s="11" t="s">
        <v>609</v>
      </c>
    </row>
    <row r="23" spans="5:6" ht="15">
      <c r="E23" s="11" t="s">
        <v>49</v>
      </c>
      <c r="F23" s="11" t="s">
        <v>608</v>
      </c>
    </row>
    <row r="24" ht="15">
      <c r="E24" s="11"/>
    </row>
    <row r="25" ht="15">
      <c r="E25" s="11"/>
    </row>
    <row r="27" spans="1:2" ht="18">
      <c r="A27" s="12" t="s">
        <v>50</v>
      </c>
      <c r="B27" s="12"/>
    </row>
    <row r="28" spans="1:2" ht="15">
      <c r="A28" s="13" t="s">
        <v>176</v>
      </c>
      <c r="B28" s="13"/>
    </row>
    <row r="29" spans="1:2" ht="14.25">
      <c r="A29" s="15"/>
      <c r="B29" s="16" t="s">
        <v>177</v>
      </c>
    </row>
    <row r="30" spans="1:5" ht="15">
      <c r="A30" s="17" t="s">
        <v>53</v>
      </c>
      <c r="B30" s="17" t="s">
        <v>54</v>
      </c>
      <c r="C30" s="17" t="s">
        <v>55</v>
      </c>
      <c r="D30" s="17" t="s">
        <v>56</v>
      </c>
      <c r="E30" s="17" t="s">
        <v>57</v>
      </c>
    </row>
    <row r="31" spans="1:5" ht="12.75">
      <c r="A31" s="14" t="s">
        <v>335</v>
      </c>
      <c r="B31" s="4" t="s">
        <v>177</v>
      </c>
      <c r="C31" s="4" t="s">
        <v>222</v>
      </c>
      <c r="D31" s="4" t="s">
        <v>512</v>
      </c>
      <c r="E31" s="18" t="s">
        <v>511</v>
      </c>
    </row>
    <row r="34" spans="1:2" ht="15">
      <c r="A34" s="13" t="s">
        <v>51</v>
      </c>
      <c r="B34" s="13"/>
    </row>
    <row r="35" spans="1:2" ht="14.25">
      <c r="A35" s="15"/>
      <c r="B35" s="16" t="s">
        <v>52</v>
      </c>
    </row>
    <row r="36" spans="1:5" ht="15">
      <c r="A36" s="17" t="s">
        <v>53</v>
      </c>
      <c r="B36" s="17" t="s">
        <v>54</v>
      </c>
      <c r="C36" s="17" t="s">
        <v>55</v>
      </c>
      <c r="D36" s="17" t="s">
        <v>56</v>
      </c>
      <c r="E36" s="17" t="s">
        <v>57</v>
      </c>
    </row>
    <row r="37" spans="1:5" ht="12.75">
      <c r="A37" s="14" t="s">
        <v>22</v>
      </c>
      <c r="B37" s="4" t="s">
        <v>58</v>
      </c>
      <c r="C37" s="4" t="s">
        <v>59</v>
      </c>
      <c r="D37" s="4" t="s">
        <v>510</v>
      </c>
      <c r="E37" s="18" t="s">
        <v>509</v>
      </c>
    </row>
    <row r="39" spans="1:2" ht="14.25">
      <c r="A39" s="15"/>
      <c r="B39" s="16" t="s">
        <v>177</v>
      </c>
    </row>
    <row r="40" spans="1:5" ht="15">
      <c r="A40" s="17" t="s">
        <v>53</v>
      </c>
      <c r="B40" s="17" t="s">
        <v>54</v>
      </c>
      <c r="C40" s="17" t="s">
        <v>55</v>
      </c>
      <c r="D40" s="17" t="s">
        <v>56</v>
      </c>
      <c r="E40" s="17" t="s">
        <v>57</v>
      </c>
    </row>
    <row r="41" spans="1:5" ht="12.75">
      <c r="A41" s="14" t="s">
        <v>508</v>
      </c>
      <c r="B41" s="4" t="s">
        <v>177</v>
      </c>
      <c r="C41" s="4" t="s">
        <v>63</v>
      </c>
      <c r="D41" s="4" t="s">
        <v>507</v>
      </c>
      <c r="E41" s="18" t="s">
        <v>506</v>
      </c>
    </row>
    <row r="42" spans="1:5" ht="12.75">
      <c r="A42" s="14" t="s">
        <v>505</v>
      </c>
      <c r="B42" s="4" t="s">
        <v>177</v>
      </c>
      <c r="C42" s="4" t="s">
        <v>283</v>
      </c>
      <c r="D42" s="4" t="s">
        <v>504</v>
      </c>
      <c r="E42" s="18" t="s">
        <v>503</v>
      </c>
    </row>
    <row r="44" spans="1:2" ht="14.25">
      <c r="A44" s="15"/>
      <c r="B44" s="16" t="s">
        <v>65</v>
      </c>
    </row>
    <row r="45" spans="1:5" ht="15">
      <c r="A45" s="17" t="s">
        <v>53</v>
      </c>
      <c r="B45" s="17" t="s">
        <v>54</v>
      </c>
      <c r="C45" s="17" t="s">
        <v>55</v>
      </c>
      <c r="D45" s="17" t="s">
        <v>56</v>
      </c>
      <c r="E45" s="17" t="s">
        <v>57</v>
      </c>
    </row>
    <row r="46" spans="1:5" ht="12.75">
      <c r="A46" s="14" t="s">
        <v>502</v>
      </c>
      <c r="B46" s="4" t="s">
        <v>69</v>
      </c>
      <c r="C46" s="4" t="s">
        <v>63</v>
      </c>
      <c r="D46" s="4" t="s">
        <v>180</v>
      </c>
      <c r="E46" s="18" t="s">
        <v>501</v>
      </c>
    </row>
    <row r="47" spans="1:5" ht="12.75">
      <c r="A47" s="14" t="s">
        <v>449</v>
      </c>
      <c r="B47" s="4" t="s">
        <v>69</v>
      </c>
      <c r="C47" s="4" t="s">
        <v>283</v>
      </c>
      <c r="D47" s="4" t="s">
        <v>459</v>
      </c>
      <c r="E47" s="18" t="s">
        <v>500</v>
      </c>
    </row>
    <row r="52" spans="1:2" ht="18">
      <c r="A52" s="12" t="s">
        <v>73</v>
      </c>
      <c r="B52" s="12"/>
    </row>
    <row r="53" spans="1:3" ht="15">
      <c r="A53" s="17" t="s">
        <v>74</v>
      </c>
      <c r="B53" s="17" t="s">
        <v>75</v>
      </c>
      <c r="C53" s="17" t="s">
        <v>76</v>
      </c>
    </row>
    <row r="54" spans="1:3" ht="12.75">
      <c r="A54" s="4" t="s">
        <v>35</v>
      </c>
      <c r="B54" s="4" t="s">
        <v>391</v>
      </c>
      <c r="C54" s="4" t="s">
        <v>499</v>
      </c>
    </row>
    <row r="55" spans="1:3" ht="12.75">
      <c r="A55" s="4" t="s">
        <v>26</v>
      </c>
      <c r="B55" s="4" t="s">
        <v>79</v>
      </c>
      <c r="C55" s="4" t="s">
        <v>81</v>
      </c>
    </row>
    <row r="56" spans="1:3" ht="12.75">
      <c r="A56" s="4" t="s">
        <v>443</v>
      </c>
      <c r="B56" s="4" t="s">
        <v>79</v>
      </c>
      <c r="C56" s="4" t="s">
        <v>441</v>
      </c>
    </row>
    <row r="57" spans="1:3" ht="12.75">
      <c r="A57" s="4" t="s">
        <v>243</v>
      </c>
      <c r="B57" s="4" t="s">
        <v>79</v>
      </c>
      <c r="C57" s="4" t="s">
        <v>498</v>
      </c>
    </row>
  </sheetData>
  <sheetProtection/>
  <mergeCells count="15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A12:L12"/>
    <mergeCell ref="A16:L16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625" style="4" bestFit="1" customWidth="1"/>
    <col min="4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47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9" t="s">
        <v>497</v>
      </c>
      <c r="B6" s="19" t="s">
        <v>496</v>
      </c>
      <c r="C6" s="19" t="s">
        <v>495</v>
      </c>
      <c r="D6" s="19" t="str">
        <f>"1,0000"</f>
        <v>1,0000</v>
      </c>
      <c r="E6" s="19" t="s">
        <v>100</v>
      </c>
      <c r="F6" s="19" t="s">
        <v>36</v>
      </c>
      <c r="G6" s="21" t="s">
        <v>425</v>
      </c>
      <c r="H6" s="33" t="s">
        <v>494</v>
      </c>
      <c r="I6" s="19" t="str">
        <f>"4050,0"</f>
        <v>4050,0</v>
      </c>
      <c r="J6" s="21" t="str">
        <f>"45,4545"</f>
        <v>45,4545</v>
      </c>
      <c r="K6" s="19" t="s">
        <v>20</v>
      </c>
    </row>
    <row r="7" spans="1:11" ht="12.75">
      <c r="A7" s="22" t="s">
        <v>146</v>
      </c>
      <c r="B7" s="22" t="s">
        <v>147</v>
      </c>
      <c r="C7" s="22" t="s">
        <v>148</v>
      </c>
      <c r="D7" s="22" t="str">
        <f>"1,0000"</f>
        <v>1,0000</v>
      </c>
      <c r="E7" s="22" t="s">
        <v>149</v>
      </c>
      <c r="F7" s="22" t="s">
        <v>150</v>
      </c>
      <c r="G7" s="24" t="s">
        <v>425</v>
      </c>
      <c r="H7" s="31" t="s">
        <v>424</v>
      </c>
      <c r="I7" s="22" t="str">
        <f>"1650,0"</f>
        <v>1650,0</v>
      </c>
      <c r="J7" s="24" t="str">
        <f>"18,8571"</f>
        <v>18,8571</v>
      </c>
      <c r="K7" s="22" t="s">
        <v>20</v>
      </c>
    </row>
    <row r="9" spans="5:6" ht="15">
      <c r="E9" s="11" t="s">
        <v>46</v>
      </c>
      <c r="F9" s="11" t="s">
        <v>598</v>
      </c>
    </row>
    <row r="10" spans="5:6" ht="15">
      <c r="E10" s="11" t="s">
        <v>47</v>
      </c>
      <c r="F10" s="11" t="s">
        <v>599</v>
      </c>
    </row>
    <row r="11" spans="5:6" ht="15">
      <c r="E11" s="11" t="s">
        <v>48</v>
      </c>
      <c r="F11" s="11" t="s">
        <v>600</v>
      </c>
    </row>
    <row r="12" spans="5:6" ht="15">
      <c r="E12" s="11" t="s">
        <v>49</v>
      </c>
      <c r="F12" s="11" t="s">
        <v>609</v>
      </c>
    </row>
    <row r="13" spans="5:6" ht="15">
      <c r="E13" s="11" t="s">
        <v>49</v>
      </c>
      <c r="F13" s="11" t="s">
        <v>608</v>
      </c>
    </row>
    <row r="14" ht="15">
      <c r="E14" s="11"/>
    </row>
    <row r="15" ht="15">
      <c r="E15" s="11"/>
    </row>
    <row r="17" spans="1:5" s="3" customFormat="1" ht="18">
      <c r="A17" s="12" t="s">
        <v>50</v>
      </c>
      <c r="B17" s="12"/>
      <c r="C17" s="4"/>
      <c r="D17" s="4"/>
      <c r="E17" s="4"/>
    </row>
    <row r="18" spans="1:5" s="3" customFormat="1" ht="15">
      <c r="A18" s="13" t="s">
        <v>51</v>
      </c>
      <c r="B18" s="13"/>
      <c r="C18" s="4"/>
      <c r="D18" s="4"/>
      <c r="E18" s="4"/>
    </row>
    <row r="19" spans="1:5" s="3" customFormat="1" ht="14.25">
      <c r="A19" s="15"/>
      <c r="B19" s="16" t="s">
        <v>177</v>
      </c>
      <c r="C19" s="4"/>
      <c r="D19" s="4"/>
      <c r="E19" s="4"/>
    </row>
    <row r="20" spans="1:5" s="3" customFormat="1" ht="15">
      <c r="A20" s="17" t="s">
        <v>53</v>
      </c>
      <c r="B20" s="17" t="s">
        <v>54</v>
      </c>
      <c r="C20" s="17" t="s">
        <v>55</v>
      </c>
      <c r="D20" s="17" t="s">
        <v>56</v>
      </c>
      <c r="E20" s="17" t="s">
        <v>423</v>
      </c>
    </row>
    <row r="21" spans="1:5" s="3" customFormat="1" ht="12.75">
      <c r="A21" s="14" t="s">
        <v>493</v>
      </c>
      <c r="B21" s="4" t="s">
        <v>177</v>
      </c>
      <c r="C21" s="4" t="s">
        <v>422</v>
      </c>
      <c r="D21" s="4" t="s">
        <v>492</v>
      </c>
      <c r="E21" s="18" t="s">
        <v>491</v>
      </c>
    </row>
    <row r="23" spans="1:5" s="3" customFormat="1" ht="14.25">
      <c r="A23" s="15"/>
      <c r="B23" s="16" t="s">
        <v>65</v>
      </c>
      <c r="C23" s="4"/>
      <c r="D23" s="4"/>
      <c r="E23" s="4"/>
    </row>
    <row r="24" spans="1:5" s="3" customFormat="1" ht="15">
      <c r="A24" s="17" t="s">
        <v>53</v>
      </c>
      <c r="B24" s="17" t="s">
        <v>54</v>
      </c>
      <c r="C24" s="17" t="s">
        <v>55</v>
      </c>
      <c r="D24" s="17" t="s">
        <v>56</v>
      </c>
      <c r="E24" s="17" t="s">
        <v>423</v>
      </c>
    </row>
    <row r="25" spans="1:5" s="3" customFormat="1" ht="12.75">
      <c r="A25" s="14" t="s">
        <v>145</v>
      </c>
      <c r="B25" s="4" t="s">
        <v>189</v>
      </c>
      <c r="C25" s="4" t="s">
        <v>422</v>
      </c>
      <c r="D25" s="4" t="s">
        <v>421</v>
      </c>
      <c r="E25" s="18" t="s">
        <v>420</v>
      </c>
    </row>
    <row r="30" spans="1:5" s="3" customFormat="1" ht="18">
      <c r="A30" s="12" t="s">
        <v>73</v>
      </c>
      <c r="B30" s="12"/>
      <c r="C30" s="4"/>
      <c r="D30" s="4"/>
      <c r="E30" s="4"/>
    </row>
    <row r="31" spans="1:5" s="3" customFormat="1" ht="15">
      <c r="A31" s="17" t="s">
        <v>74</v>
      </c>
      <c r="B31" s="17" t="s">
        <v>75</v>
      </c>
      <c r="C31" s="17" t="s">
        <v>76</v>
      </c>
      <c r="D31" s="4"/>
      <c r="E31" s="4"/>
    </row>
    <row r="32" spans="1:5" s="3" customFormat="1" ht="12.75">
      <c r="A32" s="4" t="s">
        <v>100</v>
      </c>
      <c r="B32" s="4" t="s">
        <v>79</v>
      </c>
      <c r="C32" s="4" t="s">
        <v>490</v>
      </c>
      <c r="D32" s="4"/>
      <c r="E32" s="4"/>
    </row>
    <row r="33" spans="1:3" s="3" customFormat="1" ht="12.75">
      <c r="A33" s="4" t="s">
        <v>149</v>
      </c>
      <c r="B33" s="4" t="s">
        <v>79</v>
      </c>
      <c r="C33" s="4" t="s">
        <v>199</v>
      </c>
    </row>
  </sheetData>
  <sheetProtection/>
  <mergeCells count="12"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7.625" style="4" bestFit="1" customWidth="1"/>
    <col min="4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621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37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44" t="s">
        <v>431</v>
      </c>
      <c r="E3" s="44" t="s">
        <v>4</v>
      </c>
      <c r="F3" s="44" t="s">
        <v>8</v>
      </c>
      <c r="G3" s="44" t="s">
        <v>430</v>
      </c>
      <c r="H3" s="44"/>
      <c r="I3" s="44" t="s">
        <v>429</v>
      </c>
      <c r="J3" s="44" t="s">
        <v>3</v>
      </c>
      <c r="K3" s="52" t="s">
        <v>2</v>
      </c>
    </row>
    <row r="4" spans="1:11" s="1" customFormat="1" ht="21" customHeight="1" thickBot="1">
      <c r="A4" s="48"/>
      <c r="B4" s="45"/>
      <c r="C4" s="45"/>
      <c r="D4" s="45"/>
      <c r="E4" s="45"/>
      <c r="F4" s="45"/>
      <c r="G4" s="7" t="s">
        <v>428</v>
      </c>
      <c r="H4" s="30" t="s">
        <v>427</v>
      </c>
      <c r="I4" s="45"/>
      <c r="J4" s="45"/>
      <c r="K4" s="53"/>
    </row>
    <row r="5" spans="1:10" ht="15">
      <c r="A5" s="46" t="s">
        <v>426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8" t="s">
        <v>489</v>
      </c>
      <c r="B6" s="8" t="s">
        <v>488</v>
      </c>
      <c r="C6" s="8" t="s">
        <v>487</v>
      </c>
      <c r="D6" s="8" t="str">
        <f>"1,0000"</f>
        <v>1,0000</v>
      </c>
      <c r="E6" s="8" t="s">
        <v>100</v>
      </c>
      <c r="F6" s="8" t="s">
        <v>36</v>
      </c>
      <c r="G6" s="10" t="s">
        <v>486</v>
      </c>
      <c r="H6" s="29" t="s">
        <v>485</v>
      </c>
      <c r="I6" s="8" t="str">
        <f>"5000,0"</f>
        <v>5000,0</v>
      </c>
      <c r="J6" s="10" t="str">
        <f>"49,1642"</f>
        <v>49,1642</v>
      </c>
      <c r="K6" s="8" t="s">
        <v>20</v>
      </c>
    </row>
    <row r="8" spans="5:6" ht="15">
      <c r="E8" s="11" t="s">
        <v>46</v>
      </c>
      <c r="F8" s="11" t="s">
        <v>598</v>
      </c>
    </row>
    <row r="9" spans="5:6" ht="15">
      <c r="E9" s="11" t="s">
        <v>47</v>
      </c>
      <c r="F9" s="11" t="s">
        <v>599</v>
      </c>
    </row>
    <row r="10" spans="5:6" ht="15">
      <c r="E10" s="11" t="s">
        <v>48</v>
      </c>
      <c r="F10" s="11" t="s">
        <v>600</v>
      </c>
    </row>
    <row r="11" spans="5:6" ht="15">
      <c r="E11" s="11" t="s">
        <v>49</v>
      </c>
      <c r="F11" s="11" t="s">
        <v>609</v>
      </c>
    </row>
    <row r="12" spans="5:6" ht="15">
      <c r="E12" s="11" t="s">
        <v>49</v>
      </c>
      <c r="F12" s="11" t="s">
        <v>608</v>
      </c>
    </row>
    <row r="13" ht="15">
      <c r="E13" s="11"/>
    </row>
    <row r="14" ht="15">
      <c r="E14" s="11"/>
    </row>
    <row r="16" spans="1:2" ht="18">
      <c r="A16" s="12" t="s">
        <v>50</v>
      </c>
      <c r="B16" s="12"/>
    </row>
    <row r="17" spans="1:5" s="3" customFormat="1" ht="15">
      <c r="A17" s="13" t="s">
        <v>51</v>
      </c>
      <c r="B17" s="13"/>
      <c r="C17" s="4"/>
      <c r="D17" s="4"/>
      <c r="E17" s="4"/>
    </row>
    <row r="18" spans="1:5" s="3" customFormat="1" ht="14.25">
      <c r="A18" s="15"/>
      <c r="B18" s="16" t="s">
        <v>177</v>
      </c>
      <c r="C18" s="4"/>
      <c r="D18" s="4"/>
      <c r="E18" s="4"/>
    </row>
    <row r="19" spans="1:5" s="3" customFormat="1" ht="1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423</v>
      </c>
    </row>
    <row r="20" spans="1:5" s="3" customFormat="1" ht="12.75">
      <c r="A20" s="14" t="s">
        <v>484</v>
      </c>
      <c r="B20" s="4" t="s">
        <v>177</v>
      </c>
      <c r="C20" s="4" t="s">
        <v>422</v>
      </c>
      <c r="D20" s="4" t="s">
        <v>483</v>
      </c>
      <c r="E20" s="18" t="s">
        <v>482</v>
      </c>
    </row>
    <row r="25" spans="1:5" s="3" customFormat="1" ht="18">
      <c r="A25" s="12" t="s">
        <v>73</v>
      </c>
      <c r="B25" s="12"/>
      <c r="C25" s="4"/>
      <c r="D25" s="4"/>
      <c r="E25" s="4"/>
    </row>
    <row r="26" spans="1:5" s="3" customFormat="1" ht="15">
      <c r="A26" s="17" t="s">
        <v>74</v>
      </c>
      <c r="B26" s="17" t="s">
        <v>75</v>
      </c>
      <c r="C26" s="17" t="s">
        <v>76</v>
      </c>
      <c r="D26" s="4"/>
      <c r="E26" s="4"/>
    </row>
    <row r="27" spans="1:5" s="3" customFormat="1" ht="12.75">
      <c r="A27" s="4" t="s">
        <v>100</v>
      </c>
      <c r="B27" s="4" t="s">
        <v>79</v>
      </c>
      <c r="C27" s="4" t="s">
        <v>481</v>
      </c>
      <c r="D27" s="4"/>
      <c r="E27" s="4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2019-03-25T16:46:06Z</dcterms:modified>
  <cp:category/>
  <cp:version/>
  <cp:contentType/>
  <cp:contentStatus/>
</cp:coreProperties>
</file>